
<file path=[Content_Types].xml><?xml version="1.0" encoding="utf-8"?>
<Types xmlns="http://schemas.openxmlformats.org/package/2006/content-types">
  <Default Extension="bin" ContentType="application/vnd.openxmlformats-officedocument.spreadsheetml.customProperty"/>
  <Default Extension="emf" ContentType="image/x-emf"/>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rinterSettings/printerSettings1.bin" ContentType="application/vnd.openxmlformats-officedocument.spreadsheetml.printerSettings"/>
  <Override PartName="/xl/comments1.xml" ContentType="application/vnd.openxmlformats-officedocument.spreadsheetml.comments+xml"/>
  <Override PartName="/xl/threadedComments/threadedComment1.xml" ContentType="application/vnd.ms-excel.threadedcomments+xml"/>
  <Override PartName="/xl/printerSettings/printerSettings2.bin" ContentType="application/vnd.openxmlformats-officedocument.spreadsheetml.printerSettings"/>
  <Override PartName="/xl/printerSettings/printerSettings3.bin" ContentType="application/vnd.openxmlformats-officedocument.spreadsheetml.printerSettings"/>
  <Override PartName="/xl/drawings/drawing1.xml" ContentType="application/vnd.openxmlformats-officedocument.drawing+xml"/>
  <Override PartName="/xl/printerSettings/printerSettings4.bin" ContentType="application/vnd.openxmlformats-officedocument.spreadsheetml.printerSettings"/>
  <Override PartName="/xl/comments2.xml" ContentType="application/vnd.openxmlformats-officedocument.spreadsheetml.comments+xml"/>
  <Override PartName="/xl/threadedComments/threadedComment2.xml" ContentType="application/vnd.ms-excel.threadedcomments+xml"/>
  <Override PartName="/xl/printerSettings/printerSettings5.bin" ContentType="application/vnd.openxmlformats-officedocument.spreadsheetml.printerSettings"/>
  <Override PartName="/xl/drawings/drawing2.xml" ContentType="application/vnd.openxmlformats-officedocument.drawing+xml"/>
  <Override PartName="/xl/printerSettings/printerSettings6.bin" ContentType="application/vnd.openxmlformats-officedocument.spreadsheetml.printerSettings"/>
  <Override PartName="/xl/drawings/drawing3.xml" ContentType="application/vnd.openxmlformats-officedocument.drawing+xml"/>
  <Override PartName="/xl/printerSettings/printerSettings7.bin" ContentType="application/vnd.openxmlformats-officedocument.spreadsheetml.printerSettings"/>
  <Override PartName="/xl/comments3.xml" ContentType="application/vnd.openxmlformats-officedocument.spreadsheetml.comments+xml"/>
  <Override PartName="/xl/threadedComments/threadedComment3.xml" ContentType="application/vnd.ms-excel.threadedcomments+xml"/>
  <Override PartName="/xl/printerSettings/printerSettings8.bin" ContentType="application/vnd.openxmlformats-officedocument.spreadsheetml.printerSettings"/>
  <Override PartName="/xl/comments4.xml" ContentType="application/vnd.openxmlformats-officedocument.spreadsheetml.comments+xml"/>
  <Override PartName="/xl/threadedComments/threadedComment4.xml" ContentType="application/vnd.ms-excel.threadedcomments+xml"/>
  <Override PartName="/xl/printerSettings/printerSettings9.bin" ContentType="application/vnd.openxmlformats-officedocument.spreadsheetml.printerSettings"/>
  <Override PartName="/xl/drawings/drawing4.xml" ContentType="application/vnd.openxmlformats-officedocument.drawing+xml"/>
  <Override PartName="/xl/printerSettings/printerSettings10.bin" ContentType="application/vnd.openxmlformats-officedocument.spreadsheetml.printerSettings"/>
  <Override PartName="/xl/comments5.xml" ContentType="application/vnd.openxmlformats-officedocument.spreadsheetml.comments+xml"/>
  <Override PartName="/xl/threadedComments/threadedComment5.xml" ContentType="application/vnd.ms-excel.threadedcomments+xml"/>
  <Override PartName="/xl/printerSettings/printerSettings11.bin" ContentType="application/vnd.openxmlformats-officedocument.spreadsheetml.printerSettings"/>
  <Override PartName="/xl/printerSettings/printerSettings12.bin" ContentType="application/vnd.openxmlformats-officedocument.spreadsheetml.printerSettings"/>
  <Override PartName="/xl/comments6.xml" ContentType="application/vnd.openxmlformats-officedocument.spreadsheetml.comments+xml"/>
  <Override PartName="/xl/printerSettings/printerSettings13.bin" ContentType="application/vnd.openxmlformats-officedocument.spreadsheetml.printerSettings"/>
  <Override PartName="/xl/comments7.xml" ContentType="application/vnd.openxmlformats-officedocument.spreadsheetml.comments+xml"/>
  <Override PartName="/xl/threadedComments/threadedComment6.xml" ContentType="application/vnd.ms-excel.threadedcomments+xml"/>
  <Override PartName="/xl/printerSettings/printerSettings14.bin" ContentType="application/vnd.openxmlformats-officedocument.spreadsheetml.printerSettings"/>
  <Override PartName="/xl/drawings/drawing5.xml" ContentType="application/vnd.openxmlformats-officedocument.drawing+xml"/>
  <Override PartName="/xl/comments8.xml" ContentType="application/vnd.openxmlformats-officedocument.spreadsheetml.comments+xml"/>
  <Override PartName="/xl/threadedComments/threadedComment7.xml" ContentType="application/vnd.ms-excel.threadedcomments+xml"/>
  <Override PartName="/xl/printerSettings/printerSettings15.bin" ContentType="application/vnd.openxmlformats-officedocument.spreadsheetml.printerSettings"/>
  <Override PartName="/xl/drawings/drawing6.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rinterSettings/printerSettings16.bin" ContentType="application/vnd.openxmlformats-officedocument.spreadsheetml.printerSettings"/>
  <Override PartName="/xl/printerSettings/printerSettings17.bin" ContentType="application/vnd.openxmlformats-officedocument.spreadsheetml.printerSettings"/>
  <Override PartName="/xl/printerSettings/printerSettings18.bin" ContentType="application/vnd.openxmlformats-officedocument.spreadsheetml.printerSettings"/>
  <Override PartName="/xl/drawings/drawing7.xml" ContentType="application/vnd.openxmlformats-officedocument.drawing+xml"/>
  <Override PartName="/xl/printerSettings/printerSettings19.bin" ContentType="application/vnd.openxmlformats-officedocument.spreadsheetml.printerSettings"/>
  <Override PartName="/xl/drawings/drawing8.xml" ContentType="application/vnd.openxmlformats-officedocument.drawing+xml"/>
  <Override PartName="/xl/comments9.xml" ContentType="application/vnd.openxmlformats-officedocument.spreadsheetml.comments+xml"/>
  <Override PartName="/xl/threadedComments/threadedComment8.xml" ContentType="application/vnd.ms-excel.threadedcomment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rinterSettings/printerSettings20.bin" ContentType="application/vnd.openxmlformats-officedocument.spreadsheetml.printerSettings"/>
  <Override PartName="/xl/drawings/drawing9.xml" ContentType="application/vnd.openxmlformats-officedocument.drawing+xml"/>
  <Override PartName="/xl/comments10.xml" ContentType="application/vnd.openxmlformats-officedocument.spreadsheetml.comments+xml"/>
  <Override PartName="/xl/charts/chart5.xml" ContentType="application/vnd.openxmlformats-officedocument.drawingml.chart+xml"/>
  <Override PartName="/xl/drawings/drawing10.xml" ContentType="application/vnd.openxmlformats-officedocument.drawingml.chartshapes+xml"/>
  <Override PartName="/xl/charts/chart6.xml" ContentType="application/vnd.openxmlformats-officedocument.drawingml.chart+xml"/>
  <Override PartName="/xl/printerSettings/printerSettings21.bin" ContentType="application/vnd.openxmlformats-officedocument.spreadsheetml.printerSettings"/>
  <Override PartName="/xl/drawings/drawing11.xml" ContentType="application/vnd.openxmlformats-officedocument.drawing+xml"/>
  <Override PartName="/xl/comments11.xml" ContentType="application/vnd.openxmlformats-officedocument.spreadsheetml.comments+xml"/>
  <Override PartName="/xl/threadedComments/threadedComment9.xml" ContentType="application/vnd.ms-excel.threadedcomments+xml"/>
  <Override PartName="/xl/printerSettings/printerSettings22.bin" ContentType="application/vnd.openxmlformats-officedocument.spreadsheetml.printerSettings"/>
  <Override PartName="/xl/drawings/drawing12.xml" ContentType="application/vnd.openxmlformats-officedocument.drawing+xml"/>
  <Override PartName="/xl/charts/chart7.xml" ContentType="application/vnd.openxmlformats-officedocument.drawingml.chart+xml"/>
  <Override PartName="/xl/printerSettings/printerSettings23.bin" ContentType="application/vnd.openxmlformats-officedocument.spreadsheetml.printerSettings"/>
  <Override PartName="/xl/drawings/drawing13.xml" ContentType="application/vnd.openxmlformats-officedocument.drawing+xml"/>
  <Override PartName="/xl/charts/chart8.xml" ContentType="application/vnd.openxmlformats-officedocument.drawingml.chart+xml"/>
  <Override PartName="/xl/printerSettings/printerSettings24.bin" ContentType="application/vnd.openxmlformats-officedocument.spreadsheetml.printerSettings"/>
  <Override PartName="/xl/drawings/drawing14.xml" ContentType="application/vnd.openxmlformats-officedocument.drawing+xml"/>
  <Override PartName="/xl/charts/chart9.xml" ContentType="application/vnd.openxmlformats-officedocument.drawingml.chart+xml"/>
  <Override PartName="/xl/printerSettings/printerSettings25.bin" ContentType="application/vnd.openxmlformats-officedocument.spreadsheetml.printerSettings"/>
  <Override PartName="/xl/drawings/drawing15.xml" ContentType="application/vnd.openxmlformats-officedocument.drawing+xml"/>
  <Override PartName="/xl/printerSettings/printerSettings26.bin" ContentType="application/vnd.openxmlformats-officedocument.spreadsheetml.printerSettings"/>
  <Override PartName="/xl/drawings/drawing16.xml" ContentType="application/vnd.openxmlformats-officedocument.drawing+xml"/>
  <Override PartName="/xl/charts/chart10.xml" ContentType="application/vnd.openxmlformats-officedocument.drawingml.chart+xml"/>
  <Override PartName="/xl/charts/chart11.xml" ContentType="application/vnd.openxmlformats-officedocument.drawingml.chart+xml"/>
  <Override PartName="/xl/printerSettings/printerSettings27.bin" ContentType="application/vnd.openxmlformats-officedocument.spreadsheetml.printerSettings"/>
  <Override PartName="/xl/drawings/drawing17.xml" ContentType="application/vnd.openxmlformats-officedocument.drawing+xml"/>
  <Override PartName="/xl/charts/chart12.xml" ContentType="application/vnd.openxmlformats-officedocument.drawingml.chart+xml"/>
  <Override PartName="/xl/printerSettings/printerSettings28.bin" ContentType="application/vnd.openxmlformats-officedocument.spreadsheetml.printerSettings"/>
  <Override PartName="/xl/drawings/drawing18.xml" ContentType="application/vnd.openxmlformats-officedocument.drawing+xml"/>
  <Override PartName="/xl/charts/chart13.xml" ContentType="application/vnd.openxmlformats-officedocument.drawingml.chart+xml"/>
  <Override PartName="/xl/printerSettings/printerSettings29.bin" ContentType="application/vnd.openxmlformats-officedocument.spreadsheetml.printerSettings"/>
  <Override PartName="/xl/drawings/drawing19.xml" ContentType="application/vnd.openxmlformats-officedocument.drawing+xml"/>
  <Override PartName="/xl/charts/chart14.xml" ContentType="application/vnd.openxmlformats-officedocument.drawingml.chart+xml"/>
  <Override PartName="/xl/printerSettings/printerSettings30.bin" ContentType="application/vnd.openxmlformats-officedocument.spreadsheetml.printerSettings"/>
  <Override PartName="/xl/drawings/drawing20.xml" ContentType="application/vnd.openxmlformats-officedocument.drawing+xml"/>
  <Override PartName="/xl/charts/chart15.xml" ContentType="application/vnd.openxmlformats-officedocument.drawingml.chart+xml"/>
  <Override PartName="/xl/printerSettings/printerSettings31.bin" ContentType="application/vnd.openxmlformats-officedocument.spreadsheetml.printerSettings"/>
  <Override PartName="/xl/printerSettings/printerSettings32.bin" ContentType="application/vnd.openxmlformats-officedocument.spreadsheetml.printerSettings"/>
  <Override PartName="/xl/drawings/drawing21.xml" ContentType="application/vnd.openxmlformats-officedocument.drawing+xml"/>
  <Override PartName="/xl/charts/chart16.xml" ContentType="application/vnd.openxmlformats-officedocument.drawingml.chart+xml"/>
  <Override PartName="/xl/charts/chart17.xml" ContentType="application/vnd.openxmlformats-officedocument.drawingml.chart+xml"/>
  <Override PartName="/xl/printerSettings/printerSettings33.bin" ContentType="application/vnd.openxmlformats-officedocument.spreadsheetml.printerSettings"/>
  <Override PartName="/xl/printerSettings/printerSettings34.bin" ContentType="application/vnd.openxmlformats-officedocument.spreadsheetml.printerSettings"/>
  <Override PartName="/xl/comments12.xml" ContentType="application/vnd.openxmlformats-officedocument.spreadsheetml.comments+xml"/>
  <Override PartName="/xl/threadedComments/threadedComment10.xml" ContentType="application/vnd.ms-excel.threadedcomments+xml"/>
  <Override PartName="/xl/printerSettings/printerSettings35.bin" ContentType="application/vnd.openxmlformats-officedocument.spreadsheetml.printerSettings"/>
  <Override PartName="/xl/drawings/drawing22.xml" ContentType="application/vnd.openxmlformats-officedocument.drawing+xml"/>
  <Override PartName="/xl/printerSettings/printerSettings36.bin" ContentType="application/vnd.openxmlformats-officedocument.spreadsheetml.printerSettings"/>
  <Override PartName="/xl/drawings/drawing23.xml" ContentType="application/vnd.openxmlformats-officedocument.drawing+xml"/>
  <Override PartName="/xl/printerSettings/printerSettings37.bin" ContentType="application/vnd.openxmlformats-officedocument.spreadsheetml.printerSettings"/>
  <Override PartName="/xl/drawings/drawing24.xml" ContentType="application/vnd.openxmlformats-officedocument.drawing+xml"/>
  <Override PartName="/xl/charts/chart18.xml" ContentType="application/vnd.openxmlformats-officedocument.drawingml.chart+xml"/>
  <Override PartName="/xl/printerSettings/printerSettings38.bin" ContentType="application/vnd.openxmlformats-officedocument.spreadsheetml.printerSettings"/>
  <Override PartName="/xl/drawings/drawing25.xml" ContentType="application/vnd.openxmlformats-officedocument.drawing+xml"/>
  <Override PartName="/xl/printerSettings/printerSettings39.bin" ContentType="application/vnd.openxmlformats-officedocument.spreadsheetml.printerSettings"/>
  <Override PartName="/xl/drawings/drawing26.xml" ContentType="application/vnd.openxmlformats-officedocument.drawing+xml"/>
  <Override PartName="/xl/charts/chart19.xml" ContentType="application/vnd.openxmlformats-officedocument.drawingml.chart+xml"/>
  <Override PartName="/xl/printerSettings/printerSettings40.bin" ContentType="application/vnd.openxmlformats-officedocument.spreadsheetml.printerSettings"/>
  <Override PartName="/xl/drawings/drawing27.xml" ContentType="application/vnd.openxmlformats-officedocument.drawing+xml"/>
  <Override PartName="/xl/charts/chart20.xml" ContentType="application/vnd.openxmlformats-officedocument.drawingml.chart+xml"/>
  <Override PartName="/xl/printerSettings/printerSettings41.bin" ContentType="application/vnd.openxmlformats-officedocument.spreadsheetml.printerSettings"/>
  <Override PartName="/xl/drawings/drawing28.xml" ContentType="application/vnd.openxmlformats-officedocument.drawing+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chart26.xml" ContentType="application/vnd.openxmlformats-officedocument.drawingml.chart+xml"/>
  <Override PartName="/xl/charts/chart27.xml" ContentType="application/vnd.openxmlformats-officedocument.drawingml.chart+xml"/>
  <Override PartName="/xl/printerSettings/printerSettings42.bin" ContentType="application/vnd.openxmlformats-officedocument.spreadsheetml.printerSettings"/>
  <Override PartName="/xl/drawings/drawing29.xml" ContentType="application/vnd.openxmlformats-officedocument.drawing+xml"/>
  <Override PartName="/xl/printerSettings/printerSettings43.bin" ContentType="application/vnd.openxmlformats-officedocument.spreadsheetml.printerSettings"/>
  <Override PartName="/xl/printerSettings/printerSettings44.bin" ContentType="application/vnd.openxmlformats-officedocument.spreadsheetml.printerSettings"/>
  <Override PartName="/xl/drawings/drawing30.xml" ContentType="application/vnd.openxmlformats-officedocument.drawing+xml"/>
  <Override PartName="/xl/printerSettings/printerSettings45.bin" ContentType="application/vnd.openxmlformats-officedocument.spreadsheetml.printerSettings"/>
  <Override PartName="/xl/drawings/drawing31.xml" ContentType="application/vnd.openxmlformats-officedocument.drawing+xml"/>
  <Override PartName="/xl/charts/chart28.xml" ContentType="application/vnd.openxmlformats-officedocument.drawingml.chart+xml"/>
  <Override PartName="/xl/charts/style5.xml" ContentType="application/vnd.ms-office.chartstyle+xml"/>
  <Override PartName="/xl/charts/colors5.xml" ContentType="application/vnd.ms-office.chartcolorstyle+xml"/>
  <Override PartName="/xl/printerSettings/printerSettings46.bin" ContentType="application/vnd.openxmlformats-officedocument.spreadsheetml.printerSettings"/>
  <Override PartName="/xl/drawings/drawing32.xml" ContentType="application/vnd.openxmlformats-officedocument.drawing+xml"/>
  <Override PartName="/xl/printerSettings/printerSettings47.bin" ContentType="application/vnd.openxmlformats-officedocument.spreadsheetml.printerSettings"/>
  <Override PartName="/xl/printerSettings/printerSettings48.bin" ContentType="application/vnd.openxmlformats-officedocument.spreadsheetml.printerSettings"/>
  <Override PartName="/xl/drawings/drawing33.xml" ContentType="application/vnd.openxmlformats-officedocument.drawing+xml"/>
  <Override PartName="/xl/comments13.xml" ContentType="application/vnd.openxmlformats-officedocument.spreadsheetml.comments+xml"/>
  <Override PartName="/xl/threadedComments/threadedComment11.xml" ContentType="application/vnd.ms-excel.threadedcomments+xml"/>
  <Override PartName="/xl/charts/chartEx1.xml" ContentType="application/vnd.ms-office.chartex+xml"/>
  <Override PartName="/xl/charts/style6.xml" ContentType="application/vnd.ms-office.chartstyle+xml"/>
  <Override PartName="/xl/charts/colors6.xml" ContentType="application/vnd.ms-office.chartcolorstyle+xml"/>
  <Override PartName="/xl/printerSettings/printerSettings49.bin" ContentType="application/vnd.openxmlformats-officedocument.spreadsheetml.printerSettings"/>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embeddings/oleObject1.bin" ContentType="application/vnd.openxmlformats-officedocument.oleObject"/>
  <Override PartName="/xl/embeddings/oleObject2.bin" ContentType="application/vnd.openxmlformats-officedocument.oleObject"/>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8"/>
  <workbookPr codeName="ThisWorkbook"/>
  <mc:AlternateContent xmlns:mc="http://schemas.openxmlformats.org/markup-compatibility/2006">
    <mc:Choice Requires="x15">
      <x15ac:absPath xmlns:x15ac="http://schemas.microsoft.com/office/spreadsheetml/2010/11/ac" url="C:\Users\feabe\Documents\03 City Skills\Templates\"/>
    </mc:Choice>
  </mc:AlternateContent>
  <xr:revisionPtr revIDLastSave="88" documentId="13_ncr:1_{D20409BD-8614-4714-90CE-C8CC327B0DDA}" xr6:coauthVersionLast="47" xr6:coauthVersionMax="47" xr10:uidLastSave="{4137AFC6-BFB3-41FA-8359-1D55FAAB222D}"/>
  <bookViews>
    <workbookView xWindow="-1140" yWindow="-13068" windowWidth="23256" windowHeight="12456" tabRatio="715" firstSheet="27" activeTab="26" xr2:uid="{2E40CA35-01BA-4082-AFA9-227565D0DE4D}"/>
  </bookViews>
  <sheets>
    <sheet name="List" sheetId="2" state="hidden" r:id="rId1"/>
    <sheet name="READ ME" sheetId="10" r:id="rId2"/>
    <sheet name="roadmap" sheetId="80" r:id="rId3"/>
    <sheet name="A3" sheetId="84" r:id="rId4"/>
    <sheet name="Charter" sheetId="59" r:id="rId5"/>
    <sheet name="SIPOC" sheetId="58" r:id="rId6"/>
    <sheet name="CTQ tree" sheetId="60" r:id="rId7"/>
    <sheet name="RACI" sheetId="61" r:id="rId8"/>
    <sheet name="Governance" sheetId="62" r:id="rId9"/>
    <sheet name="Stakeholder" sheetId="81" r:id="rId10"/>
    <sheet name="Communication" sheetId="63" r:id="rId11"/>
    <sheet name="Risk" sheetId="64" r:id="rId12"/>
    <sheet name="Plan" sheetId="65" r:id="rId13"/>
    <sheet name="Benefits" sheetId="66" r:id="rId14"/>
    <sheet name="Cause &amp; Effect" sheetId="18" r:id="rId15"/>
    <sheet name="Waste Walkthrough" sheetId="52" r:id="rId16"/>
    <sheet name="5S audit" sheetId="53" r:id="rId17"/>
    <sheet name="Data Collection" sheetId="42" r:id="rId18"/>
    <sheet name="Basic Sample Size" sheetId="43" r:id="rId19"/>
    <sheet name="Continuous GRR" sheetId="79" r:id="rId20"/>
    <sheet name="Graphical Summary" sheetId="88" r:id="rId21"/>
    <sheet name="AD Normality Test" sheetId="49" r:id="rId22"/>
    <sheet name="Box Plots (2)" sheetId="87" r:id="rId23"/>
    <sheet name="Box Plots" sheetId="7" r:id="rId24"/>
    <sheet name="Pareto" sheetId="17" r:id="rId25"/>
    <sheet name="Control chart selection" sheetId="86" r:id="rId26"/>
    <sheet name="I mR chart" sheetId="47" r:id="rId27"/>
    <sheet name="P chart" sheetId="21" r:id="rId28"/>
    <sheet name="np chart" sheetId="22" r:id="rId29"/>
    <sheet name="U chart" sheetId="26" r:id="rId30"/>
    <sheet name="C chart" sheetId="24" r:id="rId31"/>
    <sheet name="XBAR INPUT DATA" sheetId="51" r:id="rId32"/>
    <sheet name="Xbar mR chart" sheetId="27" r:id="rId33"/>
    <sheet name="Discrete Process capability" sheetId="46" r:id="rId34"/>
    <sheet name="Process Capability Scorecard" sheetId="48" r:id="rId35"/>
    <sheet name="Hypothesis Testing" sheetId="67" r:id="rId36"/>
    <sheet name="ChiSquare" sheetId="70" r:id="rId37"/>
    <sheet name="F Test" sheetId="71" r:id="rId38"/>
    <sheet name="Moods Median" sheetId="72" r:id="rId39"/>
    <sheet name="2 sample t test" sheetId="73" r:id="rId40"/>
    <sheet name="Correlation" sheetId="74" r:id="rId41"/>
    <sheet name="Regression" sheetId="85" r:id="rId42"/>
    <sheet name="CI Calc" sheetId="75" r:id="rId43"/>
    <sheet name="Affinity diagram" sheetId="76" r:id="rId44"/>
    <sheet name="Force Field Analysis" sheetId="30" r:id="rId45"/>
    <sheet name="Pick Chart" sheetId="54" r:id="rId46"/>
    <sheet name="Prioritisation matrix" sheetId="82" r:id="rId47"/>
    <sheet name="Pugh" sheetId="83" r:id="rId48"/>
    <sheet name="FMEA" sheetId="45" r:id="rId49"/>
    <sheet name="Control Plan" sheetId="77" r:id="rId50"/>
  </sheets>
  <externalReferences>
    <externalReference r:id="rId51"/>
    <externalReference r:id="rId52"/>
  </externalReferences>
  <definedNames>
    <definedName name="_xlnm._FilterDatabase" localSheetId="26" hidden="1">'I mR chart'!$A$1:$B$501</definedName>
    <definedName name="_xlnm._FilterDatabase" localSheetId="24" hidden="1">Pareto!$I$22:$I$31</definedName>
    <definedName name="_xlchart.v1.0" hidden="1">FMEA!$B$5:$B$19</definedName>
    <definedName name="_xlchart.v1.1" hidden="1">FMEA!$I$5:$I$19</definedName>
    <definedName name="BarLength">'AD Normality Test'!$Q$13</definedName>
    <definedName name="CarExample" localSheetId="39">#REF!</definedName>
    <definedName name="CarExample" localSheetId="43">#REF!</definedName>
    <definedName name="CarExample" localSheetId="20">#REF!</definedName>
    <definedName name="CarExample">#REF!</definedName>
    <definedName name="ChartMax" localSheetId="20">'[1]AD Normality Test'!$Q$12</definedName>
    <definedName name="ChartMax">'AD Normality Test'!$Q$12</definedName>
    <definedName name="ChartMin" localSheetId="20">'[1]AD Normality Test'!$P$12</definedName>
    <definedName name="ChartMin">'AD Normality Test'!$P$12</definedName>
    <definedName name="d2values" localSheetId="20">{1.128,1.693,2.059,2.326,2.534,2.704,2.847,2.97,3.078,3.173,3.258,3.336,3.407,3.472,3.532,3.588,3.64,3.689,3.735,3.778,3.819,3.858,3.895,3.931}</definedName>
    <definedName name="d2values">{1.128,1.693,2.059,2.326,2.534,2.704,2.847,2.97,3.078,3.173,3.258,3.336,3.407,3.472,3.532,3.588,3.64,3.689,3.735,3.778,3.819,3.858,3.895,3.931}</definedName>
    <definedName name="d3values" localSheetId="20">{0.853,0.888,0.88,0.864,0.848,0.833,0.82,0.808,0.797,0.787,0.778,0.77,0.763,0.756,0.75,0.744,0.739,0.734,0.729,0.724,0.72,0.716,0.712,0.708}</definedName>
    <definedName name="d3values">{0.853,0.888,0.88,0.864,0.848,0.833,0.82,0.808,0.797,0.787,0.778,0.77,0.763,0.756,0.75,0.744,0.739,0.734,0.729,0.724,0.72,0.716,0.712,0.708}</definedName>
    <definedName name="DataCount">'AD Normality Test'!$Q$15</definedName>
    <definedName name="enddate">[2]Gantt!$E$5</definedName>
    <definedName name="fg" localSheetId="39">#REF!</definedName>
    <definedName name="fg" localSheetId="43">#REF!</definedName>
    <definedName name="fg" localSheetId="20">#REF!</definedName>
    <definedName name="fg">#REF!</definedName>
    <definedName name="FixedEndDate">[2]Gantt!$E$6</definedName>
    <definedName name="_xlnm.Print_Area" localSheetId="47">Pugh!$A$1:$M$27</definedName>
    <definedName name="_xlnm.Print_Titles" localSheetId="49">'Control Plan'!$6:$8</definedName>
    <definedName name="_xlnm.Print_Titles" localSheetId="6">'CTQ tree'!$1:$4</definedName>
    <definedName name="_xlnm.Print_Titles" localSheetId="48">FMEA!$1:$3</definedName>
    <definedName name="_xlnm.Print_Titles" localSheetId="12">Plan!$1:$4</definedName>
    <definedName name="sdiActiveColumn" hidden="1">4</definedName>
    <definedName name="sdiActiveRow" hidden="1">9</definedName>
    <definedName name="sdiAutoNumber" hidden="1">TRUE</definedName>
    <definedName name="sdiFMEA_ACTUALDATECOL" localSheetId="39">#REF!</definedName>
    <definedName name="sdiFMEA_ACTUALDATECOL" localSheetId="43">#REF!</definedName>
    <definedName name="sdiFMEA_ACTUALDATECOL" localSheetId="20">#REF!</definedName>
    <definedName name="sdiFMEA_ACTUALDATECOL">#REF!</definedName>
    <definedName name="sdiFMEA_CAUSEOFFAILURECOL" localSheetId="39">#REF!</definedName>
    <definedName name="sdiFMEA_CAUSEOFFAILURECOL" localSheetId="43">#REF!</definedName>
    <definedName name="sdiFMEA_CAUSEOFFAILURECOL" localSheetId="20">#REF!</definedName>
    <definedName name="sdiFMEA_CAUSEOFFAILURECOL">#REF!</definedName>
    <definedName name="sdiFMEA_DETECTABILITYCOL1" localSheetId="39">#REF!</definedName>
    <definedName name="sdiFMEA_DETECTABILITYCOL1" localSheetId="43">#REF!</definedName>
    <definedName name="sdiFMEA_DETECTABILITYCOL1" localSheetId="20">#REF!</definedName>
    <definedName name="sdiFMEA_DETECTABILITYCOL1">#REF!</definedName>
    <definedName name="sdiFMEA_DETECTABILITYCOL2" localSheetId="39">#REF!</definedName>
    <definedName name="sdiFMEA_DETECTABILITYCOL2" localSheetId="43">#REF!</definedName>
    <definedName name="sdiFMEA_DETECTABILITYCOL2" localSheetId="20">#REF!</definedName>
    <definedName name="sdiFMEA_DETECTABILITYCOL2">#REF!</definedName>
    <definedName name="sdiFMEA_EFFECTOFFAILURECOL" localSheetId="39">#REF!</definedName>
    <definedName name="sdiFMEA_EFFECTOFFAILURECOL" localSheetId="43">#REF!</definedName>
    <definedName name="sdiFMEA_EFFECTOFFAILURECOL" localSheetId="20">#REF!</definedName>
    <definedName name="sdiFMEA_EFFECTOFFAILURECOL">#REF!</definedName>
    <definedName name="sdiFMEA_FAILUREMODECOL" localSheetId="39">#REF!</definedName>
    <definedName name="sdiFMEA_FAILUREMODECOL" localSheetId="43">#REF!</definedName>
    <definedName name="sdiFMEA_FAILUREMODECOL" localSheetId="20">#REF!</definedName>
    <definedName name="sdiFMEA_FAILUREMODECOL">#REF!</definedName>
    <definedName name="sdiFMEA_FIRSTCOL" localSheetId="39">#REF!</definedName>
    <definedName name="sdiFMEA_FIRSTCOL" localSheetId="43">#REF!</definedName>
    <definedName name="sdiFMEA_FIRSTCOL" localSheetId="20">#REF!</definedName>
    <definedName name="sdiFMEA_FIRSTCOL">#REF!</definedName>
    <definedName name="sdiFMEA_HEADERROW" localSheetId="39">#REF!</definedName>
    <definedName name="sdiFMEA_HEADERROW" localSheetId="43">#REF!</definedName>
    <definedName name="sdiFMEA_HEADERROW" localSheetId="20">#REF!</definedName>
    <definedName name="sdiFMEA_HEADERROW">#REF!</definedName>
    <definedName name="sdiFMEA_ITEMCOL" localSheetId="39">#REF!</definedName>
    <definedName name="sdiFMEA_ITEMCOL" localSheetId="43">#REF!</definedName>
    <definedName name="sdiFMEA_ITEMCOL" localSheetId="20">#REF!</definedName>
    <definedName name="sdiFMEA_ITEMCOL">#REF!</definedName>
    <definedName name="sdiFMEA_LASTCOL" localSheetId="39">#REF!</definedName>
    <definedName name="sdiFMEA_LASTCOL" localSheetId="43">#REF!</definedName>
    <definedName name="sdiFMEA_LASTCOL" localSheetId="20">#REF!</definedName>
    <definedName name="sdiFMEA_LASTCOL">#REF!</definedName>
    <definedName name="sdiFMEA_OCCURENCECOL1" localSheetId="39">#REF!</definedName>
    <definedName name="sdiFMEA_OCCURENCECOL1" localSheetId="43">#REF!</definedName>
    <definedName name="sdiFMEA_OCCURENCECOL1" localSheetId="20">#REF!</definedName>
    <definedName name="sdiFMEA_OCCURENCECOL1">#REF!</definedName>
    <definedName name="sdiFMEA_OCCURENCECOL2" localSheetId="39">#REF!</definedName>
    <definedName name="sdiFMEA_OCCURENCECOL2" localSheetId="43">#REF!</definedName>
    <definedName name="sdiFMEA_OCCURENCECOL2" localSheetId="20">#REF!</definedName>
    <definedName name="sdiFMEA_OCCURENCECOL2">#REF!</definedName>
    <definedName name="sdiFMEA_RPNCOL1" localSheetId="39">#REF!</definedName>
    <definedName name="sdiFMEA_RPNCOL1" localSheetId="43">#REF!</definedName>
    <definedName name="sdiFMEA_RPNCOL1" localSheetId="20">#REF!</definedName>
    <definedName name="sdiFMEA_RPNCOL1">#REF!</definedName>
    <definedName name="sdiFMEA_RPNCOL2" localSheetId="39">#REF!</definedName>
    <definedName name="sdiFMEA_RPNCOL2" localSheetId="43">#REF!</definedName>
    <definedName name="sdiFMEA_RPNCOL2" localSheetId="20">#REF!</definedName>
    <definedName name="sdiFMEA_RPNCOL2">#REF!</definedName>
    <definedName name="sdiFMEA_RRLCOL1" localSheetId="39">#REF!</definedName>
    <definedName name="sdiFMEA_RRLCOL1" localSheetId="43">#REF!</definedName>
    <definedName name="sdiFMEA_RRLCOL1" localSheetId="20">#REF!</definedName>
    <definedName name="sdiFMEA_RRLCOL1">#REF!</definedName>
    <definedName name="sdiFMEA_RRLCOL2" localSheetId="39">#REF!</definedName>
    <definedName name="sdiFMEA_RRLCOL2" localSheetId="43">#REF!</definedName>
    <definedName name="sdiFMEA_RRLCOL2" localSheetId="20">#REF!</definedName>
    <definedName name="sdiFMEA_RRLCOL2">#REF!</definedName>
    <definedName name="sdiFMEA_SEVERITYCOL1" localSheetId="39">#REF!</definedName>
    <definedName name="sdiFMEA_SEVERITYCOL1" localSheetId="43">#REF!</definedName>
    <definedName name="sdiFMEA_SEVERITYCOL1" localSheetId="20">#REF!</definedName>
    <definedName name="sdiFMEA_SEVERITYCOL1">#REF!</definedName>
    <definedName name="sdiFMEA_SEVERITYCOL2" localSheetId="39">#REF!</definedName>
    <definedName name="sdiFMEA_SEVERITYCOL2" localSheetId="43">#REF!</definedName>
    <definedName name="sdiFMEA_SEVERITYCOL2" localSheetId="20">#REF!</definedName>
    <definedName name="sdiFMEA_SEVERITYCOL2">#REF!</definedName>
    <definedName name="sdiFMEA_SUBITEMCOL" localSheetId="39">#REF!</definedName>
    <definedName name="sdiFMEA_SUBITEMCOL" localSheetId="43">#REF!</definedName>
    <definedName name="sdiFMEA_SUBITEMCOL" localSheetId="20">#REF!</definedName>
    <definedName name="sdiFMEA_SUBITEMCOL">#REF!</definedName>
    <definedName name="sdiFMEA_TARGETDATECOL" localSheetId="39">#REF!</definedName>
    <definedName name="sdiFMEA_TARGETDATECOL" localSheetId="43">#REF!</definedName>
    <definedName name="sdiFMEA_TARGETDATECOL" localSheetId="20">#REF!</definedName>
    <definedName name="sdiFMEA_TARGETDATECOL">#REF!</definedName>
    <definedName name="sdiNavigator" hidden="1">FALSE</definedName>
    <definedName name="sdiNothing" hidden="1">""</definedName>
    <definedName name="sdiNumberofColumns" hidden="1">3</definedName>
    <definedName name="sdiNumberofRows" hidden="1">6</definedName>
    <definedName name="sdiPareto" hidden="1">FALSE</definedName>
    <definedName name="sdiWhatParetoIndex" hidden="1">1</definedName>
    <definedName name="TableName">"Dummy"</definedName>
    <definedName name="valuevx">42.314159</definedName>
    <definedName name="vertex42_copyright" hidden="1">"© 2009 Vertex42 LLC"</definedName>
    <definedName name="vertex42_id" hidden="1">"control-chart.xls"</definedName>
    <definedName name="vertex42_title" hidden="1">"Control Chart Template"</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3" i="88" l="1"/>
  <c r="G21" i="88"/>
  <c r="G18" i="88"/>
  <c r="G12" i="88"/>
  <c r="G11" i="88"/>
  <c r="G6" i="88"/>
  <c r="G5" i="88"/>
  <c r="G4" i="88"/>
  <c r="G22" i="88" s="1"/>
  <c r="G3" i="88"/>
  <c r="G2" i="88"/>
  <c r="G32" i="88" s="1"/>
  <c r="G8" i="88"/>
  <c r="G7" i="88"/>
  <c r="G19" i="88" s="1"/>
  <c r="G10" i="88" l="1"/>
  <c r="G30" i="88"/>
  <c r="G34" i="88"/>
  <c r="B2" i="88"/>
  <c r="G26" i="88"/>
  <c r="G14" i="88"/>
  <c r="G29" i="88" s="1"/>
  <c r="G25" i="88"/>
  <c r="G9" i="88"/>
  <c r="B14" i="88"/>
  <c r="G24" i="88" l="1"/>
  <c r="G20" i="88"/>
  <c r="B3" i="88"/>
  <c r="B4" i="88" s="1"/>
  <c r="D4" i="88" s="1"/>
  <c r="E4" i="88" s="1"/>
  <c r="D2" i="88"/>
  <c r="E2" i="88" s="1"/>
  <c r="C2" i="88"/>
  <c r="D14" i="88"/>
  <c r="E14" i="88" s="1"/>
  <c r="C3" i="88" l="1"/>
  <c r="D3" i="88"/>
  <c r="E3" i="88" s="1"/>
  <c r="B5" i="88"/>
  <c r="B6" i="88" s="1"/>
  <c r="C4" i="88"/>
  <c r="C5" i="88"/>
  <c r="D5" i="88" l="1"/>
  <c r="E5" i="88" s="1"/>
  <c r="B7" i="88"/>
  <c r="C6" i="88"/>
  <c r="D6" i="88"/>
  <c r="E6" i="88" s="1"/>
  <c r="D7" i="88" l="1"/>
  <c r="E7" i="88" s="1"/>
  <c r="C7" i="88"/>
  <c r="B8" i="88"/>
  <c r="B9" i="88" l="1"/>
  <c r="C8" i="88"/>
  <c r="D8" i="88"/>
  <c r="E8" i="88" s="1"/>
  <c r="D9" i="88" l="1"/>
  <c r="E9" i="88" s="1"/>
  <c r="C9" i="88"/>
  <c r="B10" i="88"/>
  <c r="B11" i="88" l="1"/>
  <c r="C10" i="88"/>
  <c r="D10" i="88"/>
  <c r="E10" i="88" s="1"/>
  <c r="B12" i="88" l="1"/>
  <c r="D11" i="88"/>
  <c r="E11" i="88" s="1"/>
  <c r="C11" i="88"/>
  <c r="B13" i="88" l="1"/>
  <c r="D12" i="88"/>
  <c r="E12" i="88" s="1"/>
  <c r="C12" i="88"/>
  <c r="C13" i="88" l="1"/>
  <c r="D13" i="88"/>
  <c r="E13" i="88" s="1"/>
  <c r="C14" i="88"/>
  <c r="M6" i="87" l="1"/>
  <c r="L6" i="87"/>
  <c r="K6" i="87"/>
  <c r="J6" i="87"/>
  <c r="M5" i="87"/>
  <c r="L5" i="87"/>
  <c r="K5" i="87"/>
  <c r="J5" i="87"/>
  <c r="M4" i="87"/>
  <c r="L4" i="87"/>
  <c r="K4" i="87"/>
  <c r="J4" i="87"/>
  <c r="M3" i="87"/>
  <c r="L3" i="87"/>
  <c r="K3" i="87"/>
  <c r="J3" i="87"/>
  <c r="M2" i="87"/>
  <c r="L2" i="87"/>
  <c r="K2" i="87"/>
  <c r="J2" i="87"/>
  <c r="F19" i="83" l="1"/>
  <c r="F20" i="83" s="1"/>
  <c r="F19" i="71"/>
  <c r="F19" i="51"/>
  <c r="F19" i="79"/>
  <c r="Q35" i="24"/>
  <c r="R35" i="24"/>
  <c r="S35" i="24"/>
  <c r="Q36" i="24"/>
  <c r="R36" i="24"/>
  <c r="S36" i="24"/>
  <c r="Q35" i="26"/>
  <c r="R35" i="26"/>
  <c r="S35" i="26"/>
  <c r="T35" i="26" s="1"/>
  <c r="Q36" i="26"/>
  <c r="S36" i="26"/>
  <c r="R36" i="26" s="1"/>
  <c r="Q37" i="26"/>
  <c r="H8" i="64"/>
  <c r="H7" i="64"/>
  <c r="H6" i="64"/>
  <c r="H5" i="64"/>
  <c r="I19" i="83"/>
  <c r="I20" i="83" s="1"/>
  <c r="H19" i="83"/>
  <c r="H20" i="83" s="1"/>
  <c r="G19" i="83"/>
  <c r="E19" i="83"/>
  <c r="K17" i="83"/>
  <c r="L17" i="83" s="1"/>
  <c r="K16" i="83"/>
  <c r="L16" i="83" s="1"/>
  <c r="K15" i="83"/>
  <c r="K14" i="83"/>
  <c r="L14" i="83" s="1"/>
  <c r="K13" i="83"/>
  <c r="L13" i="83" s="1"/>
  <c r="K12" i="83"/>
  <c r="L12" i="83" s="1"/>
  <c r="K11" i="83"/>
  <c r="L11" i="83" s="1"/>
  <c r="K10" i="83"/>
  <c r="L10" i="83" s="1"/>
  <c r="K9" i="83"/>
  <c r="L9" i="83" s="1"/>
  <c r="G20" i="83" l="1"/>
  <c r="E20" i="83"/>
  <c r="S37" i="26"/>
  <c r="T36" i="26"/>
  <c r="N92" i="82"/>
  <c r="N91" i="82"/>
  <c r="N90" i="82"/>
  <c r="N89" i="82"/>
  <c r="N88" i="82"/>
  <c r="N87" i="82"/>
  <c r="N86" i="82"/>
  <c r="N85" i="82"/>
  <c r="N84" i="82"/>
  <c r="N83" i="82"/>
  <c r="N82" i="82"/>
  <c r="N81" i="82"/>
  <c r="N80" i="82"/>
  <c r="N79" i="82"/>
  <c r="N78" i="82"/>
  <c r="N77" i="82"/>
  <c r="N76" i="82"/>
  <c r="N75" i="82"/>
  <c r="N74" i="82"/>
  <c r="N73" i="82"/>
  <c r="N72" i="82"/>
  <c r="N71" i="82"/>
  <c r="N70" i="82"/>
  <c r="N69" i="82"/>
  <c r="N68" i="82"/>
  <c r="N67" i="82"/>
  <c r="N66" i="82"/>
  <c r="N65" i="82"/>
  <c r="N64" i="82"/>
  <c r="N63" i="82"/>
  <c r="N62" i="82"/>
  <c r="N61" i="82"/>
  <c r="N60" i="82"/>
  <c r="N59" i="82"/>
  <c r="N58" i="82"/>
  <c r="N57" i="82"/>
  <c r="N56" i="82"/>
  <c r="N55" i="82"/>
  <c r="N54" i="82"/>
  <c r="N53" i="82"/>
  <c r="N52" i="82"/>
  <c r="N51" i="82"/>
  <c r="N50" i="82"/>
  <c r="N49" i="82"/>
  <c r="N48" i="82"/>
  <c r="N47" i="82"/>
  <c r="N46" i="82"/>
  <c r="N45" i="82"/>
  <c r="N44" i="82"/>
  <c r="N43" i="82"/>
  <c r="N42" i="82"/>
  <c r="N41" i="82"/>
  <c r="N40" i="82"/>
  <c r="N39" i="82"/>
  <c r="N38" i="82"/>
  <c r="N37" i="82"/>
  <c r="N36" i="82"/>
  <c r="N35" i="82"/>
  <c r="N34" i="82"/>
  <c r="N33" i="82"/>
  <c r="N32" i="82"/>
  <c r="N31" i="82"/>
  <c r="N30" i="82"/>
  <c r="N29" i="82"/>
  <c r="N28" i="82"/>
  <c r="N27" i="82"/>
  <c r="N26" i="82"/>
  <c r="N25" i="82"/>
  <c r="N24" i="82"/>
  <c r="N23" i="82"/>
  <c r="N22" i="82"/>
  <c r="N21" i="82"/>
  <c r="N20" i="82"/>
  <c r="N19" i="82"/>
  <c r="N18" i="82"/>
  <c r="N17" i="82"/>
  <c r="N16" i="82"/>
  <c r="N15" i="82"/>
  <c r="N14" i="82"/>
  <c r="N13" i="82"/>
  <c r="N12" i="82"/>
  <c r="N11" i="82"/>
  <c r="N10" i="82"/>
  <c r="N9" i="82"/>
  <c r="N8" i="82"/>
  <c r="N7" i="82"/>
  <c r="R37" i="26" l="1"/>
  <c r="T37" i="26"/>
  <c r="AA7" i="18"/>
  <c r="AA8" i="18"/>
  <c r="AA9" i="18"/>
  <c r="AA10" i="18"/>
  <c r="AA11" i="18"/>
  <c r="AA12" i="18"/>
  <c r="AA13" i="18"/>
  <c r="AA14" i="18"/>
  <c r="AA15" i="18"/>
  <c r="AA16" i="18"/>
  <c r="AA17" i="18"/>
  <c r="AA18" i="18"/>
  <c r="AA19" i="18"/>
  <c r="AA20" i="18"/>
  <c r="AA21" i="18"/>
  <c r="AA22" i="18"/>
  <c r="AA23" i="18"/>
  <c r="AA24" i="18"/>
  <c r="AA25" i="18"/>
  <c r="AA26" i="18"/>
  <c r="AA27" i="18"/>
  <c r="AA28" i="18"/>
  <c r="AA29" i="18"/>
  <c r="AA30" i="18"/>
  <c r="AA31" i="18"/>
  <c r="AA32" i="18"/>
  <c r="AA33" i="18"/>
  <c r="AA34" i="18"/>
  <c r="AA35" i="18"/>
  <c r="AA36" i="18"/>
  <c r="AA37" i="18"/>
  <c r="AA6" i="18"/>
  <c r="H9" i="64"/>
  <c r="P13" i="72"/>
  <c r="T13" i="72" s="1"/>
  <c r="W13" i="72"/>
  <c r="AB13" i="72" s="1"/>
  <c r="AG13" i="72" s="1"/>
  <c r="O13" i="72"/>
  <c r="D16" i="48"/>
  <c r="E16" i="48"/>
  <c r="C16" i="48"/>
  <c r="C24" i="48" s="1"/>
  <c r="D14" i="48"/>
  <c r="D23" i="48" s="1"/>
  <c r="E14" i="48"/>
  <c r="E23" i="48" s="1"/>
  <c r="D15" i="48"/>
  <c r="E15" i="48"/>
  <c r="C14" i="48"/>
  <c r="C23" i="48" s="1"/>
  <c r="C15" i="48"/>
  <c r="E24" i="48"/>
  <c r="D24" i="48"/>
  <c r="E26" i="48"/>
  <c r="D26" i="48"/>
  <c r="C26" i="48"/>
  <c r="D17" i="48"/>
  <c r="E17" i="48"/>
  <c r="C17" i="48"/>
  <c r="E45" i="79"/>
  <c r="L43" i="79" s="1"/>
  <c r="F43" i="79"/>
  <c r="I43" i="79" s="1"/>
  <c r="L42" i="79"/>
  <c r="F42" i="79"/>
  <c r="I42" i="79" s="1"/>
  <c r="L41" i="79"/>
  <c r="F41" i="79"/>
  <c r="I41" i="79" s="1"/>
  <c r="L40" i="79"/>
  <c r="F40" i="79"/>
  <c r="I40" i="79" s="1"/>
  <c r="AA39" i="79"/>
  <c r="Z39" i="79"/>
  <c r="Y39" i="79"/>
  <c r="L39" i="79"/>
  <c r="F39" i="79"/>
  <c r="I39" i="79" s="1"/>
  <c r="AA38" i="79"/>
  <c r="Z38" i="79"/>
  <c r="Y38" i="79"/>
  <c r="L38" i="79"/>
  <c r="I38" i="79"/>
  <c r="F38" i="79"/>
  <c r="AA37" i="79"/>
  <c r="Z37" i="79"/>
  <c r="Y37" i="79"/>
  <c r="L37" i="79"/>
  <c r="I37" i="79"/>
  <c r="F37" i="79"/>
  <c r="AA36" i="79"/>
  <c r="Z36" i="79"/>
  <c r="Y36" i="79"/>
  <c r="L36" i="79"/>
  <c r="F36" i="79"/>
  <c r="I36" i="79" s="1"/>
  <c r="AA35" i="79"/>
  <c r="Z35" i="79"/>
  <c r="Y35" i="79"/>
  <c r="L35" i="79"/>
  <c r="F35" i="79"/>
  <c r="I35" i="79" s="1"/>
  <c r="AA34" i="79"/>
  <c r="Z34" i="79"/>
  <c r="Y34" i="79"/>
  <c r="L34" i="79"/>
  <c r="I34" i="79"/>
  <c r="F34" i="79"/>
  <c r="AA33" i="79"/>
  <c r="Z33" i="79"/>
  <c r="Y33" i="79"/>
  <c r="L33" i="79"/>
  <c r="I33" i="79"/>
  <c r="F33" i="79"/>
  <c r="AA32" i="79"/>
  <c r="Z32" i="79"/>
  <c r="Y32" i="79"/>
  <c r="L32" i="79"/>
  <c r="F32" i="79"/>
  <c r="I32" i="79" s="1"/>
  <c r="AA31" i="79"/>
  <c r="Z31" i="79"/>
  <c r="Y31" i="79"/>
  <c r="L31" i="79"/>
  <c r="F31" i="79"/>
  <c r="I31" i="79" s="1"/>
  <c r="AA30" i="79"/>
  <c r="Z30" i="79"/>
  <c r="Y30" i="79"/>
  <c r="L30" i="79"/>
  <c r="I30" i="79"/>
  <c r="F30" i="79"/>
  <c r="L29" i="79"/>
  <c r="I29" i="79"/>
  <c r="H29" i="79"/>
  <c r="K29" i="79" s="1"/>
  <c r="F29" i="79"/>
  <c r="L28" i="79"/>
  <c r="H28" i="79"/>
  <c r="K28" i="79" s="1"/>
  <c r="F28" i="79"/>
  <c r="I28" i="79" s="1"/>
  <c r="L27" i="79"/>
  <c r="F27" i="79"/>
  <c r="I27" i="79" s="1"/>
  <c r="L26" i="79"/>
  <c r="F26" i="79"/>
  <c r="I26" i="79" s="1"/>
  <c r="L25" i="79"/>
  <c r="F25" i="79"/>
  <c r="I25" i="79" s="1"/>
  <c r="L24" i="79"/>
  <c r="I24" i="79"/>
  <c r="F24" i="79"/>
  <c r="Y23" i="79"/>
  <c r="L23" i="79"/>
  <c r="F23" i="79"/>
  <c r="I23" i="79" s="1"/>
  <c r="Y22" i="79"/>
  <c r="L22" i="79"/>
  <c r="I22" i="79"/>
  <c r="F22" i="79"/>
  <c r="AC21" i="79"/>
  <c r="AB21" i="79"/>
  <c r="AA21" i="79"/>
  <c r="Z21" i="79"/>
  <c r="L21" i="79"/>
  <c r="F21" i="79"/>
  <c r="I21" i="79" s="1"/>
  <c r="L20" i="79"/>
  <c r="F20" i="79"/>
  <c r="I20" i="79" s="1"/>
  <c r="L19" i="79"/>
  <c r="I19" i="79"/>
  <c r="L18" i="79"/>
  <c r="I18" i="79"/>
  <c r="F18" i="79"/>
  <c r="L17" i="79"/>
  <c r="I17" i="79"/>
  <c r="F17" i="79"/>
  <c r="L16" i="79"/>
  <c r="F16" i="79"/>
  <c r="I16" i="79" s="1"/>
  <c r="I15" i="79"/>
  <c r="F15" i="79"/>
  <c r="Q14" i="79"/>
  <c r="P14" i="79"/>
  <c r="L14" i="79"/>
  <c r="F14" i="79"/>
  <c r="I14" i="79" s="1"/>
  <c r="L13" i="79"/>
  <c r="F13" i="79"/>
  <c r="I13" i="79" s="1"/>
  <c r="L12" i="79"/>
  <c r="F12" i="79"/>
  <c r="I12" i="79" s="1"/>
  <c r="L11" i="79"/>
  <c r="F11" i="79"/>
  <c r="I11" i="79" s="1"/>
  <c r="C11" i="79"/>
  <c r="H31" i="79" s="1"/>
  <c r="K31" i="79" s="1"/>
  <c r="L10" i="79"/>
  <c r="F10" i="79"/>
  <c r="I10" i="79" s="1"/>
  <c r="L9" i="79"/>
  <c r="H9" i="79"/>
  <c r="K9" i="79" s="1"/>
  <c r="F9" i="79"/>
  <c r="I9" i="79" s="1"/>
  <c r="C9" i="79"/>
  <c r="L8" i="79"/>
  <c r="K8" i="79"/>
  <c r="I8" i="79"/>
  <c r="H8" i="79"/>
  <c r="F8" i="79"/>
  <c r="L7" i="79"/>
  <c r="F7" i="79"/>
  <c r="I7" i="79" s="1"/>
  <c r="C7" i="79"/>
  <c r="H7" i="79" s="1"/>
  <c r="K7" i="79" s="1"/>
  <c r="L6" i="79"/>
  <c r="I6" i="79"/>
  <c r="F6" i="79"/>
  <c r="S5" i="79"/>
  <c r="P5" i="79"/>
  <c r="P16" i="79" s="1"/>
  <c r="L5" i="79"/>
  <c r="F5" i="79"/>
  <c r="I5" i="79" s="1"/>
  <c r="C5" i="79"/>
  <c r="R4" i="79"/>
  <c r="R15" i="79" s="1"/>
  <c r="P4" i="79"/>
  <c r="L4" i="79"/>
  <c r="I4" i="79"/>
  <c r="F4" i="79"/>
  <c r="R3" i="79"/>
  <c r="R14" i="79" s="1"/>
  <c r="Q3" i="79"/>
  <c r="P3" i="79"/>
  <c r="Q13" i="72" l="1"/>
  <c r="H6" i="79"/>
  <c r="K6" i="79" s="1"/>
  <c r="H24" i="79"/>
  <c r="K24" i="79" s="1"/>
  <c r="H30" i="79"/>
  <c r="K30" i="79" s="1"/>
  <c r="C12" i="79"/>
  <c r="H26" i="79"/>
  <c r="K26" i="79" s="1"/>
  <c r="H27" i="79"/>
  <c r="K27" i="79" s="1"/>
  <c r="H5" i="79"/>
  <c r="K5" i="79" s="1"/>
  <c r="P6" i="79"/>
  <c r="P7" i="79" s="1"/>
  <c r="H10" i="79"/>
  <c r="K10" i="79" s="1"/>
  <c r="H11" i="79"/>
  <c r="K11" i="79" s="1"/>
  <c r="P15" i="79"/>
  <c r="H25" i="79"/>
  <c r="K25" i="79" s="1"/>
  <c r="H4" i="79"/>
  <c r="K4" i="79" s="1"/>
  <c r="C13" i="79" l="1"/>
  <c r="H33" i="79" s="1"/>
  <c r="K33" i="79" s="1"/>
  <c r="P17" i="79"/>
  <c r="P18" i="79" s="1"/>
  <c r="H32" i="79" l="1"/>
  <c r="K32" i="79" s="1"/>
  <c r="H12" i="79"/>
  <c r="K12" i="79" s="1"/>
  <c r="H13" i="79"/>
  <c r="K13" i="79" s="1"/>
  <c r="C14" i="79"/>
  <c r="H35" i="79" l="1"/>
  <c r="K35" i="79" s="1"/>
  <c r="C15" i="79"/>
  <c r="H15" i="79" l="1"/>
  <c r="K15" i="79" s="1"/>
  <c r="C16" i="79"/>
  <c r="H34" i="79"/>
  <c r="K34" i="79" s="1"/>
  <c r="H14" i="79"/>
  <c r="K14" i="79" s="1"/>
  <c r="C17" i="79" l="1"/>
  <c r="H36" i="79" s="1"/>
  <c r="K36" i="79" s="1"/>
  <c r="H16" i="79"/>
  <c r="K16" i="79" s="1"/>
  <c r="C18" i="79" l="1"/>
  <c r="H17" i="79"/>
  <c r="K17" i="79" s="1"/>
  <c r="H37" i="79"/>
  <c r="K37" i="79" s="1"/>
  <c r="H39" i="79" l="1"/>
  <c r="K39" i="79" s="1"/>
  <c r="C19" i="79"/>
  <c r="H18" i="79"/>
  <c r="K18" i="79" s="1"/>
  <c r="H38" i="79"/>
  <c r="K38" i="79" s="1"/>
  <c r="H19" i="79" l="1"/>
  <c r="K19" i="79" s="1"/>
  <c r="C20" i="79"/>
  <c r="H41" i="79" l="1"/>
  <c r="K41" i="79" s="1"/>
  <c r="C21" i="79"/>
  <c r="C22" i="79" l="1"/>
  <c r="H21" i="79"/>
  <c r="K21" i="79" s="1"/>
  <c r="H20" i="79"/>
  <c r="K20" i="79" s="1"/>
  <c r="H40" i="79"/>
  <c r="K40" i="79" s="1"/>
  <c r="H22" i="79" l="1"/>
  <c r="K22" i="79" s="1"/>
  <c r="C23" i="79"/>
  <c r="H42" i="79"/>
  <c r="K42" i="79" s="1"/>
  <c r="H43" i="79"/>
  <c r="K43" i="79" s="1"/>
  <c r="G22" i="79"/>
  <c r="J22" i="79" s="1"/>
  <c r="G18" i="79"/>
  <c r="J18" i="79" s="1"/>
  <c r="G16" i="79"/>
  <c r="J16" i="79" s="1"/>
  <c r="G19" i="79"/>
  <c r="J19" i="79" s="1"/>
  <c r="G20" i="79"/>
  <c r="J20" i="79" s="1"/>
  <c r="H23" i="79" l="1"/>
  <c r="K23" i="79" s="1"/>
  <c r="R5" i="79" s="1"/>
  <c r="G23" i="79"/>
  <c r="J23" i="79" s="1"/>
  <c r="G24" i="79"/>
  <c r="J24" i="79" s="1"/>
  <c r="G4" i="79"/>
  <c r="J4" i="79" s="1"/>
  <c r="Q5" i="79" s="1"/>
  <c r="G36" i="79"/>
  <c r="J36" i="79" s="1"/>
  <c r="G33" i="79"/>
  <c r="J33" i="79" s="1"/>
  <c r="G6" i="79"/>
  <c r="J6" i="79" s="1"/>
  <c r="G38" i="79"/>
  <c r="J38" i="79" s="1"/>
  <c r="G8" i="79"/>
  <c r="J8" i="79" s="1"/>
  <c r="G26" i="79"/>
  <c r="J26" i="79" s="1"/>
  <c r="G30" i="79"/>
  <c r="J30" i="79" s="1"/>
  <c r="G37" i="79"/>
  <c r="J37" i="79" s="1"/>
  <c r="G43" i="79"/>
  <c r="J43" i="79" s="1"/>
  <c r="G11" i="79"/>
  <c r="J11" i="79" s="1"/>
  <c r="G10" i="79"/>
  <c r="J10" i="79" s="1"/>
  <c r="G42" i="79"/>
  <c r="J42" i="79" s="1"/>
  <c r="G9" i="79"/>
  <c r="J9" i="79" s="1"/>
  <c r="G34" i="79"/>
  <c r="J34" i="79" s="1"/>
  <c r="G32" i="79"/>
  <c r="J32" i="79" s="1"/>
  <c r="G35" i="79"/>
  <c r="J35" i="79" s="1"/>
  <c r="G29" i="79"/>
  <c r="J29" i="79" s="1"/>
  <c r="G41" i="79"/>
  <c r="J41" i="79" s="1"/>
  <c r="Q4" i="79"/>
  <c r="G7" i="79"/>
  <c r="J7" i="79" s="1"/>
  <c r="G5" i="79"/>
  <c r="J5" i="79" s="1"/>
  <c r="G27" i="79"/>
  <c r="J27" i="79" s="1"/>
  <c r="G28" i="79"/>
  <c r="J28" i="79" s="1"/>
  <c r="G40" i="79"/>
  <c r="J40" i="79" s="1"/>
  <c r="G31" i="79"/>
  <c r="J31" i="79" s="1"/>
  <c r="G25" i="79"/>
  <c r="J25" i="79" s="1"/>
  <c r="G39" i="79"/>
  <c r="J39" i="79" s="1"/>
  <c r="G12" i="79"/>
  <c r="J12" i="79" s="1"/>
  <c r="G13" i="79"/>
  <c r="J13" i="79" s="1"/>
  <c r="G21" i="79"/>
  <c r="J21" i="79" s="1"/>
  <c r="G15" i="79"/>
  <c r="J15" i="79" s="1"/>
  <c r="G17" i="79"/>
  <c r="J17" i="79" s="1"/>
  <c r="G14" i="79"/>
  <c r="J14" i="79" s="1"/>
  <c r="Q16" i="79" l="1"/>
  <c r="T5" i="79"/>
  <c r="Q15" i="79"/>
  <c r="Q6" i="79"/>
  <c r="R6" i="79"/>
  <c r="S6" i="79"/>
  <c r="Q17" i="79" l="1"/>
  <c r="T6" i="79"/>
  <c r="R17" i="79"/>
  <c r="T7" i="79"/>
  <c r="R16" i="79"/>
  <c r="R18" i="79" s="1"/>
  <c r="Q18" i="79"/>
  <c r="Q7" i="79"/>
  <c r="Q8" i="79" s="1"/>
  <c r="Q9" i="79" s="1"/>
  <c r="R7" i="79"/>
  <c r="T8" i="79" l="1"/>
  <c r="T9" i="79" s="1"/>
  <c r="Q11" i="79" s="1"/>
  <c r="P8" i="79"/>
  <c r="P9" i="79" s="1"/>
  <c r="Q22" i="79" l="1"/>
  <c r="P22" i="79"/>
  <c r="T22" i="79"/>
  <c r="R22" i="79"/>
  <c r="R24" i="79" l="1"/>
  <c r="T24" i="79"/>
  <c r="P24" i="79"/>
  <c r="Q24" i="79"/>
  <c r="U22" i="79"/>
  <c r="V22" i="79" l="1"/>
  <c r="U24" i="79"/>
  <c r="V24" i="79" l="1"/>
  <c r="V23" i="79"/>
  <c r="Z22" i="79" s="1"/>
  <c r="Q23" i="79"/>
  <c r="T23" i="79"/>
  <c r="S22" i="79"/>
  <c r="R23" i="79"/>
  <c r="AA22" i="79" s="1"/>
  <c r="P23" i="79"/>
  <c r="AC22" i="79" s="1"/>
  <c r="U23" i="79"/>
  <c r="AB22" i="79" s="1"/>
  <c r="S23" i="79" l="1"/>
  <c r="S24" i="79"/>
  <c r="V25" i="79"/>
  <c r="Z23" i="79" s="1"/>
  <c r="P27" i="79"/>
  <c r="S25" i="79" l="1"/>
  <c r="P25" i="79"/>
  <c r="AC23" i="79" s="1"/>
  <c r="T25" i="79"/>
  <c r="Q25" i="79"/>
  <c r="R25" i="79"/>
  <c r="AA23" i="79" s="1"/>
  <c r="U25" i="79"/>
  <c r="AB23" i="79" s="1"/>
  <c r="E25" i="48" l="1"/>
  <c r="D25" i="48"/>
  <c r="C25" i="48"/>
  <c r="Q8" i="45" l="1"/>
  <c r="I8" i="45"/>
  <c r="Q7" i="45"/>
  <c r="I7" i="45"/>
  <c r="Q9" i="45"/>
  <c r="I9" i="45"/>
  <c r="Q6" i="45"/>
  <c r="I6" i="45"/>
  <c r="B5" i="52"/>
  <c r="B6" i="52"/>
  <c r="B7" i="52"/>
  <c r="B8" i="52"/>
  <c r="B9" i="52"/>
  <c r="B10" i="52"/>
  <c r="B11" i="52"/>
  <c r="B12" i="52"/>
  <c r="B13" i="52"/>
  <c r="B14" i="52"/>
  <c r="B15" i="52"/>
  <c r="B16" i="52"/>
  <c r="B17" i="52"/>
  <c r="B18" i="52"/>
  <c r="B19" i="52"/>
  <c r="B20" i="52"/>
  <c r="B4" i="52"/>
  <c r="B21" i="52" s="1"/>
  <c r="K54" i="75"/>
  <c r="K55" i="75" s="1"/>
  <c r="M57" i="75" s="1"/>
  <c r="L52" i="75"/>
  <c r="K57" i="75" s="1"/>
  <c r="K41" i="75"/>
  <c r="K42" i="75" s="1"/>
  <c r="M44" i="75" s="1"/>
  <c r="K38" i="75"/>
  <c r="L38" i="75" s="1"/>
  <c r="K37" i="75"/>
  <c r="L37" i="75" s="1"/>
  <c r="K31" i="75"/>
  <c r="K29" i="75"/>
  <c r="M31" i="75" s="1"/>
  <c r="M27" i="75"/>
  <c r="K20" i="75"/>
  <c r="K18" i="75"/>
  <c r="M20" i="75" s="1"/>
  <c r="M16" i="75"/>
  <c r="E6" i="75"/>
  <c r="F7" i="75" s="1"/>
  <c r="M18" i="74"/>
  <c r="M20" i="74" s="1"/>
  <c r="F17" i="73"/>
  <c r="H11" i="73"/>
  <c r="G11" i="73"/>
  <c r="F11" i="73"/>
  <c r="M8" i="73"/>
  <c r="L8" i="73"/>
  <c r="M7" i="73"/>
  <c r="L7" i="73"/>
  <c r="M6" i="73"/>
  <c r="L6" i="73"/>
  <c r="G6" i="73"/>
  <c r="F6" i="73"/>
  <c r="M5" i="73"/>
  <c r="L5" i="73"/>
  <c r="G5" i="73"/>
  <c r="F5" i="73"/>
  <c r="M4" i="73"/>
  <c r="L4" i="73"/>
  <c r="G4" i="73"/>
  <c r="G10" i="73" s="1"/>
  <c r="F4" i="73"/>
  <c r="F10" i="73" s="1"/>
  <c r="G3" i="73"/>
  <c r="F3" i="73"/>
  <c r="P23" i="72"/>
  <c r="AB15" i="72"/>
  <c r="T15" i="72"/>
  <c r="Q15" i="72"/>
  <c r="P14" i="72"/>
  <c r="T14" i="72" s="1"/>
  <c r="O14" i="72"/>
  <c r="W14" i="72" s="1"/>
  <c r="AB14" i="72" s="1"/>
  <c r="AG14" i="72" s="1"/>
  <c r="P12" i="72"/>
  <c r="Q12" i="72" s="1"/>
  <c r="O12" i="72"/>
  <c r="W12" i="72" s="1"/>
  <c r="AB12" i="72" s="1"/>
  <c r="AG12" i="72" s="1"/>
  <c r="P11" i="72"/>
  <c r="T11" i="72" s="1"/>
  <c r="O11" i="72"/>
  <c r="W11" i="72" s="1"/>
  <c r="AB11" i="72" s="1"/>
  <c r="AG11" i="72" s="1"/>
  <c r="P10" i="72"/>
  <c r="T10" i="72" s="1"/>
  <c r="O10" i="72"/>
  <c r="W10" i="72" s="1"/>
  <c r="AB10" i="72" s="1"/>
  <c r="AG10" i="72" s="1"/>
  <c r="P9" i="72"/>
  <c r="T9" i="72" s="1"/>
  <c r="O9" i="72"/>
  <c r="W9" i="72" s="1"/>
  <c r="AB9" i="72" s="1"/>
  <c r="AG9" i="72" s="1"/>
  <c r="P8" i="72"/>
  <c r="Q8" i="72" s="1"/>
  <c r="O8" i="72"/>
  <c r="W8" i="72" s="1"/>
  <c r="AB8" i="72" s="1"/>
  <c r="AG8" i="72" s="1"/>
  <c r="P7" i="72"/>
  <c r="T7" i="72" s="1"/>
  <c r="O7" i="72"/>
  <c r="W7" i="72" s="1"/>
  <c r="AB7" i="72" s="1"/>
  <c r="AG7" i="72" s="1"/>
  <c r="P6" i="72"/>
  <c r="T6" i="72" s="1"/>
  <c r="O6" i="72"/>
  <c r="W6" i="72" s="1"/>
  <c r="AB6" i="72" s="1"/>
  <c r="AG6" i="72" s="1"/>
  <c r="P5" i="72"/>
  <c r="T5" i="72" s="1"/>
  <c r="O5" i="72"/>
  <c r="W5" i="72" s="1"/>
  <c r="AB5" i="72" s="1"/>
  <c r="AG5" i="72" s="1"/>
  <c r="P4" i="72"/>
  <c r="Q4" i="72" s="1"/>
  <c r="O4" i="72"/>
  <c r="W4" i="72" s="1"/>
  <c r="AB4" i="72" s="1"/>
  <c r="AG4" i="72" s="1"/>
  <c r="P3" i="72"/>
  <c r="Q3" i="72" s="1"/>
  <c r="O3" i="72"/>
  <c r="W3" i="72" s="1"/>
  <c r="AB3" i="72" s="1"/>
  <c r="AG3" i="72" s="1"/>
  <c r="G21" i="71"/>
  <c r="F21" i="71"/>
  <c r="G20" i="71"/>
  <c r="F20" i="71"/>
  <c r="G19" i="71"/>
  <c r="G18" i="71"/>
  <c r="F18" i="71"/>
  <c r="G17" i="71"/>
  <c r="F17" i="71"/>
  <c r="H10" i="71"/>
  <c r="H12" i="71" s="1"/>
  <c r="G6" i="71"/>
  <c r="G7" i="71" s="1"/>
  <c r="F6" i="71"/>
  <c r="F7" i="71" s="1"/>
  <c r="G5" i="71"/>
  <c r="F5" i="71"/>
  <c r="H8" i="71" s="1"/>
  <c r="G4" i="71"/>
  <c r="F4" i="71"/>
  <c r="G3" i="71"/>
  <c r="F3" i="71"/>
  <c r="C25" i="70"/>
  <c r="F16" i="70"/>
  <c r="E16" i="70"/>
  <c r="D16" i="70"/>
  <c r="C16" i="70"/>
  <c r="F15" i="70"/>
  <c r="E15" i="70"/>
  <c r="D15" i="70"/>
  <c r="C15" i="70"/>
  <c r="F14" i="70"/>
  <c r="E14" i="70"/>
  <c r="D14" i="70"/>
  <c r="C14" i="70"/>
  <c r="G13" i="70"/>
  <c r="E12" i="70"/>
  <c r="D12" i="70"/>
  <c r="E11" i="70"/>
  <c r="D11" i="70"/>
  <c r="G10" i="70"/>
  <c r="G16" i="70" s="1"/>
  <c r="E9" i="70"/>
  <c r="D9" i="70"/>
  <c r="E8" i="70"/>
  <c r="D8" i="70"/>
  <c r="G7" i="70"/>
  <c r="E6" i="70"/>
  <c r="D6" i="70"/>
  <c r="E5" i="70"/>
  <c r="D5" i="70"/>
  <c r="G4" i="70"/>
  <c r="E19" i="67"/>
  <c r="E17" i="67"/>
  <c r="E15" i="67"/>
  <c r="F7" i="73" l="1"/>
  <c r="G7" i="73"/>
  <c r="S10" i="72"/>
  <c r="Y10" i="72" s="1"/>
  <c r="S13" i="72"/>
  <c r="T3" i="72"/>
  <c r="P15" i="72"/>
  <c r="S3" i="72"/>
  <c r="R3" i="72" s="1"/>
  <c r="X3" i="72" s="1"/>
  <c r="S9" i="72"/>
  <c r="R9" i="72" s="1"/>
  <c r="X9" i="72" s="1"/>
  <c r="Q11" i="72"/>
  <c r="Q5" i="72"/>
  <c r="S11" i="72"/>
  <c r="R11" i="72" s="1"/>
  <c r="X11" i="72" s="1"/>
  <c r="Q10" i="72"/>
  <c r="Q14" i="72"/>
  <c r="S4" i="72"/>
  <c r="Y4" i="72" s="1"/>
  <c r="T8" i="72"/>
  <c r="S12" i="72"/>
  <c r="R12" i="72" s="1"/>
  <c r="X12" i="72" s="1"/>
  <c r="H13" i="70"/>
  <c r="C5" i="70"/>
  <c r="C6" i="70" s="1"/>
  <c r="C17" i="70"/>
  <c r="H10" i="70"/>
  <c r="H7" i="70"/>
  <c r="C8" i="70"/>
  <c r="C9" i="70" s="1"/>
  <c r="F5" i="70"/>
  <c r="F6" i="70" s="1"/>
  <c r="H4" i="70"/>
  <c r="H12" i="73"/>
  <c r="H13" i="73" s="1"/>
  <c r="H14" i="73" s="1"/>
  <c r="H10" i="73"/>
  <c r="F8" i="70"/>
  <c r="F9" i="70" s="1"/>
  <c r="T4" i="72"/>
  <c r="S5" i="72"/>
  <c r="Q7" i="72"/>
  <c r="T12" i="72"/>
  <c r="S14" i="72"/>
  <c r="E7" i="75"/>
  <c r="E5" i="75" s="1"/>
  <c r="K44" i="75"/>
  <c r="J46" i="75" s="1"/>
  <c r="Q6" i="72"/>
  <c r="S6" i="72"/>
  <c r="C11" i="70"/>
  <c r="C12" i="70" s="1"/>
  <c r="F17" i="70"/>
  <c r="F11" i="70"/>
  <c r="F12" i="70" s="1"/>
  <c r="S7" i="72"/>
  <c r="Q9" i="72"/>
  <c r="S8" i="72"/>
  <c r="H15" i="73" l="1"/>
  <c r="F20" i="73" s="1"/>
  <c r="R10" i="72"/>
  <c r="X10" i="72" s="1"/>
  <c r="Z10" i="72" s="1"/>
  <c r="R13" i="72"/>
  <c r="X13" i="72" s="1"/>
  <c r="Y13" i="72"/>
  <c r="Y3" i="72"/>
  <c r="Z3" i="72" s="1"/>
  <c r="Y9" i="72"/>
  <c r="Z9" i="72" s="1"/>
  <c r="Y11" i="72"/>
  <c r="Z11" i="72" s="1"/>
  <c r="Y12" i="72"/>
  <c r="Z12" i="72" s="1"/>
  <c r="R4" i="72"/>
  <c r="X4" i="72" s="1"/>
  <c r="Z4" i="72" s="1"/>
  <c r="Y5" i="72"/>
  <c r="R5" i="72"/>
  <c r="X5" i="72" s="1"/>
  <c r="R8" i="72"/>
  <c r="X8" i="72" s="1"/>
  <c r="Y8" i="72"/>
  <c r="S15" i="72"/>
  <c r="Y6" i="72"/>
  <c r="R6" i="72"/>
  <c r="X6" i="72" s="1"/>
  <c r="Y14" i="72"/>
  <c r="R14" i="72"/>
  <c r="X14" i="72" s="1"/>
  <c r="Y7" i="72"/>
  <c r="R7" i="72"/>
  <c r="X7" i="72" s="1"/>
  <c r="C24" i="70"/>
  <c r="C26" i="70" s="1"/>
  <c r="Z7" i="72" l="1"/>
  <c r="Z5" i="72"/>
  <c r="Z13" i="72"/>
  <c r="Z6" i="72"/>
  <c r="Y15" i="72"/>
  <c r="Z14" i="72"/>
  <c r="X15" i="72"/>
  <c r="Z8" i="72"/>
  <c r="R15" i="72"/>
  <c r="Z15" i="72" l="1"/>
  <c r="AD13" i="72" s="1"/>
  <c r="AI13" i="72" s="1"/>
  <c r="AC8" i="72" l="1"/>
  <c r="AH8" i="72" s="1"/>
  <c r="AC7" i="72"/>
  <c r="AH7" i="72" s="1"/>
  <c r="AD8" i="72"/>
  <c r="AI8" i="72" s="1"/>
  <c r="AC4" i="72"/>
  <c r="AD9" i="72"/>
  <c r="AI9" i="72" s="1"/>
  <c r="AC10" i="72"/>
  <c r="AH10" i="72" s="1"/>
  <c r="AC3" i="72"/>
  <c r="AC9" i="72"/>
  <c r="AH9" i="72" s="1"/>
  <c r="AD3" i="72"/>
  <c r="AI3" i="72" s="1"/>
  <c r="AD7" i="72"/>
  <c r="AD11" i="72"/>
  <c r="AD14" i="72"/>
  <c r="AI14" i="72" s="1"/>
  <c r="AC13" i="72"/>
  <c r="AD4" i="72"/>
  <c r="AI4" i="72" s="1"/>
  <c r="AC12" i="72"/>
  <c r="AD5" i="72"/>
  <c r="AI5" i="72" s="1"/>
  <c r="AD6" i="72"/>
  <c r="AI6" i="72" s="1"/>
  <c r="AC11" i="72"/>
  <c r="AH11" i="72" s="1"/>
  <c r="AD12" i="72"/>
  <c r="AI12" i="72" s="1"/>
  <c r="AC6" i="72"/>
  <c r="AH6" i="72" s="1"/>
  <c r="AC5" i="72"/>
  <c r="AD10" i="72"/>
  <c r="AI10" i="72" s="1"/>
  <c r="AC14" i="72"/>
  <c r="AH14" i="72" s="1"/>
  <c r="AE8" i="72" l="1"/>
  <c r="AE13" i="72"/>
  <c r="AH13" i="72"/>
  <c r="AE14" i="72"/>
  <c r="AE12" i="72"/>
  <c r="AH12" i="72"/>
  <c r="AE11" i="72"/>
  <c r="AI11" i="72"/>
  <c r="AC15" i="72"/>
  <c r="AE6" i="72"/>
  <c r="AE4" i="72"/>
  <c r="AH4" i="72"/>
  <c r="AE9" i="72"/>
  <c r="AD15" i="72"/>
  <c r="AE7" i="72"/>
  <c r="AI7" i="72"/>
  <c r="AE10" i="72"/>
  <c r="AE5" i="72"/>
  <c r="AH5" i="72"/>
  <c r="AH3" i="72"/>
  <c r="AE3" i="72"/>
  <c r="P22" i="72" l="1"/>
  <c r="P24" i="72" s="1"/>
  <c r="AE15" i="72"/>
  <c r="E4" i="65" l="1"/>
  <c r="F4" i="65" s="1"/>
  <c r="G4" i="65" s="1"/>
  <c r="H4" i="65" s="1"/>
  <c r="I4" i="65" s="1"/>
  <c r="J4" i="65" s="1"/>
  <c r="K4" i="65" s="1"/>
  <c r="L4" i="65" s="1"/>
  <c r="M4" i="65" s="1"/>
  <c r="N4" i="65" s="1"/>
  <c r="O4" i="65" s="1"/>
  <c r="P4" i="65" s="1"/>
  <c r="Q4" i="65" s="1"/>
  <c r="R4" i="65" s="1"/>
  <c r="S4" i="65" s="1"/>
  <c r="T4" i="65" s="1"/>
  <c r="U4" i="65" s="1"/>
  <c r="V4" i="65" s="1"/>
  <c r="W4" i="65" s="1"/>
  <c r="X4" i="65" s="1"/>
  <c r="Y4" i="65" s="1"/>
  <c r="Z4" i="65" s="1"/>
  <c r="AA4" i="65" s="1"/>
  <c r="AB4" i="65" s="1"/>
  <c r="AC4" i="65" s="1"/>
  <c r="AD4" i="65" s="1"/>
  <c r="AE4" i="65" s="1"/>
  <c r="H4" i="64"/>
  <c r="Q101" i="26" l="1"/>
  <c r="Q100" i="26"/>
  <c r="Q99" i="26"/>
  <c r="Q98" i="26"/>
  <c r="Q97" i="26"/>
  <c r="Q96" i="26"/>
  <c r="Q95" i="26"/>
  <c r="Q94" i="26"/>
  <c r="Q93" i="26"/>
  <c r="Q92" i="26"/>
  <c r="Q91" i="26"/>
  <c r="Q90" i="26"/>
  <c r="Q89" i="26"/>
  <c r="Q88" i="26"/>
  <c r="Q87" i="26"/>
  <c r="Q86" i="26"/>
  <c r="Q85" i="26"/>
  <c r="Q84" i="26"/>
  <c r="Q83" i="26"/>
  <c r="Q82" i="26"/>
  <c r="Q81" i="26"/>
  <c r="Q80" i="26"/>
  <c r="Q79" i="26"/>
  <c r="Q78" i="26"/>
  <c r="Q77" i="26"/>
  <c r="Q76" i="26"/>
  <c r="Q75" i="26"/>
  <c r="Q74" i="26"/>
  <c r="Q73" i="26"/>
  <c r="Q72" i="26"/>
  <c r="Q71" i="26"/>
  <c r="S71" i="22"/>
  <c r="T71" i="22"/>
  <c r="U71" i="22"/>
  <c r="S72" i="22"/>
  <c r="T72" i="22"/>
  <c r="U72" i="22"/>
  <c r="S73" i="22"/>
  <c r="T73" i="22"/>
  <c r="U73" i="22"/>
  <c r="S74" i="22"/>
  <c r="T74" i="22"/>
  <c r="U74" i="22"/>
  <c r="S75" i="22"/>
  <c r="T75" i="22"/>
  <c r="U75" i="22"/>
  <c r="S76" i="22"/>
  <c r="T76" i="22"/>
  <c r="U76" i="22"/>
  <c r="S77" i="22"/>
  <c r="T77" i="22"/>
  <c r="U77" i="22"/>
  <c r="S78" i="22"/>
  <c r="T78" i="22"/>
  <c r="U78" i="22"/>
  <c r="S79" i="22"/>
  <c r="T79" i="22"/>
  <c r="U79" i="22"/>
  <c r="S80" i="22"/>
  <c r="T80" i="22"/>
  <c r="U80" i="22"/>
  <c r="S81" i="22"/>
  <c r="T81" i="22"/>
  <c r="U81" i="22"/>
  <c r="S82" i="22"/>
  <c r="T82" i="22"/>
  <c r="U82" i="22"/>
  <c r="S83" i="22"/>
  <c r="T83" i="22"/>
  <c r="U83" i="22"/>
  <c r="S84" i="22"/>
  <c r="T84" i="22"/>
  <c r="U84" i="22"/>
  <c r="S85" i="22"/>
  <c r="T85" i="22"/>
  <c r="U85" i="22"/>
  <c r="S86" i="22"/>
  <c r="T86" i="22"/>
  <c r="U86" i="22"/>
  <c r="S87" i="22"/>
  <c r="T87" i="22"/>
  <c r="U87" i="22"/>
  <c r="S88" i="22"/>
  <c r="T88" i="22"/>
  <c r="U88" i="22"/>
  <c r="S89" i="22"/>
  <c r="T89" i="22"/>
  <c r="U89" i="22"/>
  <c r="S90" i="22"/>
  <c r="T90" i="22"/>
  <c r="U90" i="22"/>
  <c r="S91" i="22"/>
  <c r="T91" i="22"/>
  <c r="U91" i="22"/>
  <c r="S92" i="22"/>
  <c r="T92" i="22"/>
  <c r="U92" i="22"/>
  <c r="S93" i="22"/>
  <c r="T93" i="22"/>
  <c r="U93" i="22"/>
  <c r="S94" i="22"/>
  <c r="T94" i="22"/>
  <c r="U94" i="22"/>
  <c r="S95" i="22"/>
  <c r="T95" i="22"/>
  <c r="U95" i="22"/>
  <c r="S96" i="22"/>
  <c r="T96" i="22"/>
  <c r="U96" i="22"/>
  <c r="S97" i="22"/>
  <c r="T97" i="22"/>
  <c r="U97" i="22"/>
  <c r="S98" i="22"/>
  <c r="T98" i="22"/>
  <c r="U98" i="22"/>
  <c r="S99" i="22"/>
  <c r="T99" i="22"/>
  <c r="U99" i="22"/>
  <c r="S100" i="22"/>
  <c r="T100" i="22"/>
  <c r="U100" i="22"/>
  <c r="S101" i="22"/>
  <c r="T101" i="22"/>
  <c r="U101" i="22"/>
  <c r="T2" i="22"/>
  <c r="U2" i="22" s="1"/>
  <c r="V2" i="22"/>
  <c r="U32" i="22"/>
  <c r="U33" i="22"/>
  <c r="U34" i="22"/>
  <c r="U35" i="22"/>
  <c r="U36" i="22"/>
  <c r="U37" i="22"/>
  <c r="U38" i="22"/>
  <c r="U39" i="22"/>
  <c r="U40" i="22"/>
  <c r="U41" i="22"/>
  <c r="U42" i="22"/>
  <c r="U43" i="22"/>
  <c r="U44" i="22"/>
  <c r="U45" i="22"/>
  <c r="U46" i="22"/>
  <c r="U47" i="22"/>
  <c r="U48" i="22"/>
  <c r="U49" i="22"/>
  <c r="U50" i="22"/>
  <c r="U51" i="22"/>
  <c r="U52" i="22"/>
  <c r="U53" i="22"/>
  <c r="U54" i="22"/>
  <c r="U55" i="22"/>
  <c r="U56" i="22"/>
  <c r="U57" i="22"/>
  <c r="U58" i="22"/>
  <c r="U59" i="22"/>
  <c r="U60" i="22"/>
  <c r="U61" i="22"/>
  <c r="U62" i="22"/>
  <c r="U63" i="22"/>
  <c r="U64" i="22"/>
  <c r="U65" i="22"/>
  <c r="U66" i="22"/>
  <c r="U67" i="22"/>
  <c r="U68" i="22"/>
  <c r="U69" i="22"/>
  <c r="U70" i="22"/>
  <c r="T3" i="22"/>
  <c r="U3" i="22" s="1"/>
  <c r="T4" i="22"/>
  <c r="U4" i="22" s="1"/>
  <c r="T5" i="22"/>
  <c r="U5" i="22" s="1"/>
  <c r="T6" i="22"/>
  <c r="U6" i="22" s="1"/>
  <c r="T7" i="22"/>
  <c r="U7" i="22" s="1"/>
  <c r="T8" i="22"/>
  <c r="U8" i="22" s="1"/>
  <c r="T9" i="22"/>
  <c r="U9" i="22" s="1"/>
  <c r="T10" i="22"/>
  <c r="U10" i="22" s="1"/>
  <c r="T11" i="22"/>
  <c r="U11" i="22" s="1"/>
  <c r="T12" i="22"/>
  <c r="U12" i="22" s="1"/>
  <c r="T13" i="22"/>
  <c r="U13" i="22" s="1"/>
  <c r="T14" i="22"/>
  <c r="U14" i="22" s="1"/>
  <c r="T15" i="22"/>
  <c r="U15" i="22" s="1"/>
  <c r="T16" i="22"/>
  <c r="U16" i="22" s="1"/>
  <c r="T17" i="22"/>
  <c r="U17" i="22" s="1"/>
  <c r="T18" i="22"/>
  <c r="U18" i="22" s="1"/>
  <c r="T19" i="22"/>
  <c r="U19" i="22" s="1"/>
  <c r="T20" i="22"/>
  <c r="U20" i="22" s="1"/>
  <c r="T21" i="22"/>
  <c r="U21" i="22" s="1"/>
  <c r="T22" i="22"/>
  <c r="U22" i="22" s="1"/>
  <c r="T23" i="22"/>
  <c r="U23" i="22" s="1"/>
  <c r="T24" i="22"/>
  <c r="U24" i="22" s="1"/>
  <c r="T25" i="22"/>
  <c r="U25" i="22" s="1"/>
  <c r="T26" i="22"/>
  <c r="U26" i="22" s="1"/>
  <c r="T27" i="22"/>
  <c r="U27" i="22" s="1"/>
  <c r="T28" i="22"/>
  <c r="U28" i="22" s="1"/>
  <c r="T29" i="22"/>
  <c r="U29" i="22" s="1"/>
  <c r="T30" i="22"/>
  <c r="U30" i="22" s="1"/>
  <c r="T31" i="22"/>
  <c r="U31" i="22" s="1"/>
  <c r="T32" i="22"/>
  <c r="T33" i="22"/>
  <c r="T34" i="22"/>
  <c r="T35" i="22"/>
  <c r="T36" i="22"/>
  <c r="T37" i="22"/>
  <c r="T38" i="22"/>
  <c r="T39" i="22"/>
  <c r="T40" i="22"/>
  <c r="T41" i="22"/>
  <c r="T42" i="22"/>
  <c r="T43" i="22"/>
  <c r="T44" i="22"/>
  <c r="T45" i="22"/>
  <c r="T46" i="22"/>
  <c r="T47" i="22"/>
  <c r="T48" i="22"/>
  <c r="T49" i="22"/>
  <c r="T50" i="22"/>
  <c r="T51" i="22"/>
  <c r="T52" i="22"/>
  <c r="T53" i="22"/>
  <c r="T54" i="22"/>
  <c r="T55" i="22"/>
  <c r="T56" i="22"/>
  <c r="T57" i="22"/>
  <c r="T58" i="22"/>
  <c r="T59" i="22"/>
  <c r="T60" i="22"/>
  <c r="T61" i="22"/>
  <c r="T62" i="22"/>
  <c r="T63" i="22"/>
  <c r="T64" i="22"/>
  <c r="T65" i="22"/>
  <c r="T66" i="22"/>
  <c r="T67" i="22"/>
  <c r="T68" i="22"/>
  <c r="T69" i="22"/>
  <c r="T70" i="22"/>
  <c r="S22" i="22"/>
  <c r="S23" i="22"/>
  <c r="S24" i="22"/>
  <c r="S25" i="22"/>
  <c r="S26" i="22"/>
  <c r="S27" i="22"/>
  <c r="S28" i="22"/>
  <c r="S29" i="22"/>
  <c r="S30" i="22"/>
  <c r="S31" i="22"/>
  <c r="S32" i="22"/>
  <c r="S33" i="22"/>
  <c r="S34" i="22"/>
  <c r="S35" i="22"/>
  <c r="S36" i="22"/>
  <c r="S37" i="22"/>
  <c r="S38" i="22"/>
  <c r="S39" i="22"/>
  <c r="S40" i="22"/>
  <c r="S41" i="22"/>
  <c r="S42" i="22"/>
  <c r="S43" i="22"/>
  <c r="S44" i="22"/>
  <c r="S45" i="22"/>
  <c r="S46" i="22"/>
  <c r="S47" i="22"/>
  <c r="S48" i="22"/>
  <c r="S49" i="22"/>
  <c r="S50" i="22"/>
  <c r="S51" i="22"/>
  <c r="S52" i="22"/>
  <c r="S53" i="22"/>
  <c r="S54" i="22"/>
  <c r="S55" i="22"/>
  <c r="S56" i="22"/>
  <c r="S57" i="22"/>
  <c r="S58" i="22"/>
  <c r="S59" i="22"/>
  <c r="S60" i="22"/>
  <c r="S61" i="22"/>
  <c r="S62" i="22"/>
  <c r="S63" i="22"/>
  <c r="S64" i="22"/>
  <c r="S65" i="22"/>
  <c r="S66" i="22"/>
  <c r="S67" i="22"/>
  <c r="S68" i="22"/>
  <c r="S69" i="22"/>
  <c r="S70" i="22"/>
  <c r="AA26" i="21"/>
  <c r="AA27" i="21"/>
  <c r="AA28" i="21"/>
  <c r="AA29" i="21"/>
  <c r="AN29" i="21" s="1"/>
  <c r="AA30" i="21"/>
  <c r="AA31" i="21"/>
  <c r="AA32" i="21"/>
  <c r="AA33" i="21"/>
  <c r="AN33" i="21" s="1"/>
  <c r="AA34" i="21"/>
  <c r="AA35" i="21"/>
  <c r="AA36" i="21"/>
  <c r="AA37" i="21"/>
  <c r="AN37" i="21" s="1"/>
  <c r="AA38" i="21"/>
  <c r="AA39" i="21"/>
  <c r="AA40" i="21"/>
  <c r="AN41" i="21" s="1"/>
  <c r="AA41" i="21"/>
  <c r="AA42" i="21"/>
  <c r="AA43" i="21"/>
  <c r="AN43" i="21" s="1"/>
  <c r="AA44" i="21"/>
  <c r="AA45" i="21"/>
  <c r="AA46" i="21"/>
  <c r="AN47" i="21" s="1"/>
  <c r="AA47" i="21"/>
  <c r="AA48" i="21"/>
  <c r="AA49" i="21"/>
  <c r="AA50" i="21"/>
  <c r="AA51" i="21"/>
  <c r="AA52" i="21"/>
  <c r="AA53" i="21"/>
  <c r="AA54" i="21"/>
  <c r="AA55" i="21"/>
  <c r="AA56" i="21"/>
  <c r="AA57" i="21"/>
  <c r="AA58" i="21"/>
  <c r="AA59" i="21"/>
  <c r="AA60" i="21"/>
  <c r="AA61" i="21"/>
  <c r="AA62" i="21"/>
  <c r="AA63" i="21"/>
  <c r="AN63" i="21" s="1"/>
  <c r="AA64" i="21"/>
  <c r="AA65" i="21"/>
  <c r="AA66" i="21"/>
  <c r="AA67" i="21"/>
  <c r="AA68" i="21"/>
  <c r="AA69" i="21"/>
  <c r="AN69" i="21" s="1"/>
  <c r="AA70" i="21"/>
  <c r="AA71" i="21"/>
  <c r="AA72" i="21"/>
  <c r="AA73" i="21"/>
  <c r="AA74" i="21"/>
  <c r="AA75" i="21"/>
  <c r="AA76" i="21"/>
  <c r="AA77" i="21"/>
  <c r="AA78" i="21"/>
  <c r="AA79" i="21"/>
  <c r="AA80" i="21"/>
  <c r="AA81" i="21"/>
  <c r="AA82" i="21"/>
  <c r="AN82" i="21" s="1"/>
  <c r="AA83" i="21"/>
  <c r="AA84" i="21"/>
  <c r="AA85" i="21"/>
  <c r="AA86" i="21"/>
  <c r="AA87" i="21"/>
  <c r="AA88" i="21"/>
  <c r="AA89" i="21"/>
  <c r="AA90" i="21"/>
  <c r="AA91" i="21"/>
  <c r="AA92" i="21"/>
  <c r="AA93" i="21"/>
  <c r="AA94" i="21"/>
  <c r="AA95" i="21"/>
  <c r="AA96" i="21"/>
  <c r="AA97" i="21"/>
  <c r="AA98" i="21"/>
  <c r="AA99" i="21"/>
  <c r="AA100" i="21"/>
  <c r="AA101" i="21"/>
  <c r="AA21" i="21"/>
  <c r="AA22" i="21"/>
  <c r="AA23" i="21"/>
  <c r="AA24" i="21"/>
  <c r="AA25" i="21"/>
  <c r="AA3" i="21"/>
  <c r="AA4" i="21"/>
  <c r="AA5" i="21"/>
  <c r="AA6" i="21"/>
  <c r="AA7" i="21"/>
  <c r="AA8" i="21"/>
  <c r="AA9" i="21"/>
  <c r="AA10" i="21"/>
  <c r="AA11" i="21"/>
  <c r="AA12" i="21"/>
  <c r="AA13" i="21"/>
  <c r="AA14" i="21"/>
  <c r="AA15" i="21"/>
  <c r="AA16" i="21"/>
  <c r="AA17" i="21"/>
  <c r="AA18" i="21"/>
  <c r="AA19" i="21"/>
  <c r="AA20" i="21"/>
  <c r="AN74" i="21" l="1"/>
  <c r="AC91" i="21"/>
  <c r="AN85" i="21"/>
  <c r="AN53" i="21"/>
  <c r="AN67" i="21"/>
  <c r="AN95" i="21"/>
  <c r="AC35" i="21"/>
  <c r="AN57" i="21"/>
  <c r="AN35" i="21"/>
  <c r="AN45" i="21"/>
  <c r="AN99" i="21"/>
  <c r="AN81" i="21"/>
  <c r="AN77" i="21"/>
  <c r="S2" i="22"/>
  <c r="AC88" i="21"/>
  <c r="AM88" i="21" s="1"/>
  <c r="AC31" i="21"/>
  <c r="AM31" i="21" s="1"/>
  <c r="AC39" i="21"/>
  <c r="AM39" i="21" s="1"/>
  <c r="AM91" i="21"/>
  <c r="AN55" i="21"/>
  <c r="AC80" i="21"/>
  <c r="AM80" i="21" s="1"/>
  <c r="AN100" i="21"/>
  <c r="AN96" i="21"/>
  <c r="AN92" i="21"/>
  <c r="AN91" i="21"/>
  <c r="AN88" i="21"/>
  <c r="AN70" i="21"/>
  <c r="AC67" i="21"/>
  <c r="AC63" i="21"/>
  <c r="AN51" i="21"/>
  <c r="AC99" i="21"/>
  <c r="AC95" i="21"/>
  <c r="AN90" i="21"/>
  <c r="AC90" i="21"/>
  <c r="AM90" i="21" s="1"/>
  <c r="AN87" i="21"/>
  <c r="AC86" i="21"/>
  <c r="AN80" i="21"/>
  <c r="AN79" i="21"/>
  <c r="AC78" i="21"/>
  <c r="AC53" i="21"/>
  <c r="AM53" i="21" s="1"/>
  <c r="AC50" i="21"/>
  <c r="AC81" i="21"/>
  <c r="AC66" i="21"/>
  <c r="AN101" i="21"/>
  <c r="AN97" i="21"/>
  <c r="AN93" i="21"/>
  <c r="AC92" i="21"/>
  <c r="AN86" i="21"/>
  <c r="AN78" i="21"/>
  <c r="AN71" i="21"/>
  <c r="AC64" i="21"/>
  <c r="AC60" i="21"/>
  <c r="AC57" i="21"/>
  <c r="AM57" i="21" s="1"/>
  <c r="AN48" i="21"/>
  <c r="AC43" i="21"/>
  <c r="AC48" i="21"/>
  <c r="AM48" i="21" s="1"/>
  <c r="AC51" i="21"/>
  <c r="AM51" i="21" s="1"/>
  <c r="AC83" i="21"/>
  <c r="AM83" i="21" s="1"/>
  <c r="AC87" i="21"/>
  <c r="AM87" i="21" s="1"/>
  <c r="AN49" i="21"/>
  <c r="AC27" i="21"/>
  <c r="AC98" i="21"/>
  <c r="AC70" i="21"/>
  <c r="AM70" i="21" s="1"/>
  <c r="AC44" i="21"/>
  <c r="AC100" i="21"/>
  <c r="AM100" i="21" s="1"/>
  <c r="AC96" i="21"/>
  <c r="AN89" i="21"/>
  <c r="AC85" i="21"/>
  <c r="AC84" i="21"/>
  <c r="AM84" i="21" s="1"/>
  <c r="AC77" i="21"/>
  <c r="AC76" i="21"/>
  <c r="AM76" i="21" s="1"/>
  <c r="AN64" i="21"/>
  <c r="AN65" i="21"/>
  <c r="AN60" i="21"/>
  <c r="AC54" i="21"/>
  <c r="AM54" i="21" s="1"/>
  <c r="AC75" i="21"/>
  <c r="AM75" i="21" s="1"/>
  <c r="AC94" i="21"/>
  <c r="AN73" i="21"/>
  <c r="AN98" i="21"/>
  <c r="AN94" i="21"/>
  <c r="AC89" i="21"/>
  <c r="AN54" i="21"/>
  <c r="AC101" i="21"/>
  <c r="AM101" i="21" s="1"/>
  <c r="AC97" i="21"/>
  <c r="AM97" i="21" s="1"/>
  <c r="AC93" i="21"/>
  <c r="AM93" i="21" s="1"/>
  <c r="AN84" i="21"/>
  <c r="AN83" i="21"/>
  <c r="AC82" i="21"/>
  <c r="AN76" i="21"/>
  <c r="AN75" i="21"/>
  <c r="AC74" i="21"/>
  <c r="AC73" i="21"/>
  <c r="AM73" i="21" s="1"/>
  <c r="AC69" i="21"/>
  <c r="AM69" i="21" s="1"/>
  <c r="AN61" i="21"/>
  <c r="AN58" i="21"/>
  <c r="AN59" i="21"/>
  <c r="AC47" i="21"/>
  <c r="AC58" i="21"/>
  <c r="AC72" i="21"/>
  <c r="AM72" i="21" s="1"/>
  <c r="AN66" i="21"/>
  <c r="AC59" i="21"/>
  <c r="AC56" i="21"/>
  <c r="AM56" i="21" s="1"/>
  <c r="AN50" i="21"/>
  <c r="AN72" i="21"/>
  <c r="AC65" i="21"/>
  <c r="AC62" i="21"/>
  <c r="AN56" i="21"/>
  <c r="AJ59" i="21" s="1"/>
  <c r="AC49" i="21"/>
  <c r="AC46" i="21"/>
  <c r="AC71" i="21"/>
  <c r="AC68" i="21"/>
  <c r="AN62" i="21"/>
  <c r="AC55" i="21"/>
  <c r="AM55" i="21" s="1"/>
  <c r="AC52" i="21"/>
  <c r="AN46" i="21"/>
  <c r="AN39" i="21"/>
  <c r="AN31" i="21"/>
  <c r="AN27" i="21"/>
  <c r="AC79" i="21"/>
  <c r="AN68" i="21"/>
  <c r="AC61" i="21"/>
  <c r="AM61" i="21" s="1"/>
  <c r="AN52" i="21"/>
  <c r="AN42" i="21"/>
  <c r="AN38" i="21"/>
  <c r="AN34" i="21"/>
  <c r="AN30" i="21"/>
  <c r="AC26" i="21"/>
  <c r="AM26" i="21" s="1"/>
  <c r="AC30" i="21"/>
  <c r="AM30" i="21" s="1"/>
  <c r="AC34" i="21"/>
  <c r="AC38" i="21"/>
  <c r="AC42" i="21"/>
  <c r="AM42" i="21" s="1"/>
  <c r="AC29" i="21"/>
  <c r="AC33" i="21"/>
  <c r="AM33" i="21" s="1"/>
  <c r="AC37" i="21"/>
  <c r="AM37" i="21" s="1"/>
  <c r="AC41" i="21"/>
  <c r="AM41" i="21" s="1"/>
  <c r="AC45" i="21"/>
  <c r="AN26" i="21"/>
  <c r="AC28" i="21"/>
  <c r="AC32" i="21"/>
  <c r="AC36" i="21"/>
  <c r="AC40" i="21"/>
  <c r="AM35" i="21"/>
  <c r="AN44" i="21"/>
  <c r="AN40" i="21"/>
  <c r="AN36" i="21"/>
  <c r="AN32" i="21"/>
  <c r="AN28" i="21"/>
  <c r="AJ34" i="21" l="1"/>
  <c r="AJ43" i="21"/>
  <c r="AJ74" i="21"/>
  <c r="AJ53" i="21"/>
  <c r="AJ49" i="21"/>
  <c r="AJ72" i="21"/>
  <c r="AJ38" i="21"/>
  <c r="AJ60" i="21"/>
  <c r="AJ61" i="21"/>
  <c r="AJ65" i="21"/>
  <c r="AJ40" i="21"/>
  <c r="AJ91" i="21"/>
  <c r="AJ48" i="21"/>
  <c r="AJ82" i="21"/>
  <c r="AJ90" i="21"/>
  <c r="AM62" i="21"/>
  <c r="AM45" i="21"/>
  <c r="AM43" i="21"/>
  <c r="AM64" i="21"/>
  <c r="AJ84" i="21"/>
  <c r="AJ86" i="21"/>
  <c r="AJ98" i="21"/>
  <c r="AJ87" i="21"/>
  <c r="AJ42" i="21"/>
  <c r="AJ41" i="21"/>
  <c r="AM58" i="21"/>
  <c r="AM77" i="21"/>
  <c r="AJ39" i="21"/>
  <c r="AJ54" i="21"/>
  <c r="AM79" i="21"/>
  <c r="AM66" i="21"/>
  <c r="AJ96" i="21"/>
  <c r="AJ57" i="21"/>
  <c r="AM65" i="21"/>
  <c r="AJ46" i="21"/>
  <c r="AM82" i="21"/>
  <c r="AJ66" i="21"/>
  <c r="AJ99" i="21"/>
  <c r="AM92" i="21"/>
  <c r="AJ101" i="21"/>
  <c r="AM36" i="21"/>
  <c r="AJ33" i="21"/>
  <c r="AJ89" i="21"/>
  <c r="AJ79" i="21"/>
  <c r="AM85" i="21"/>
  <c r="AM78" i="21"/>
  <c r="AM32" i="21"/>
  <c r="AJ44" i="21"/>
  <c r="AJ37" i="21"/>
  <c r="AJ68" i="21"/>
  <c r="AM47" i="21"/>
  <c r="AM94" i="21"/>
  <c r="AJ71" i="21"/>
  <c r="AJ95" i="21"/>
  <c r="AJ77" i="21"/>
  <c r="AJ92" i="21"/>
  <c r="AJ85" i="21"/>
  <c r="AJ93" i="21"/>
  <c r="AM96" i="21"/>
  <c r="AM63" i="21"/>
  <c r="AJ83" i="21"/>
  <c r="AJ73" i="21"/>
  <c r="AM52" i="21"/>
  <c r="AM34" i="21"/>
  <c r="AJ78" i="21"/>
  <c r="AJ56" i="21"/>
  <c r="AM74" i="21"/>
  <c r="AJ55" i="21"/>
  <c r="AJ58" i="21"/>
  <c r="AM49" i="21"/>
  <c r="AJ81" i="21"/>
  <c r="AJ69" i="21"/>
  <c r="AM44" i="21"/>
  <c r="AM86" i="21"/>
  <c r="AJ94" i="21"/>
  <c r="AM27" i="21"/>
  <c r="AJ36" i="21"/>
  <c r="AJ45" i="21"/>
  <c r="AJ62" i="21"/>
  <c r="AM59" i="21"/>
  <c r="AJ67" i="21"/>
  <c r="AJ35" i="21"/>
  <c r="AJ70" i="21"/>
  <c r="AM98" i="21"/>
  <c r="AM71" i="21"/>
  <c r="AM50" i="21"/>
  <c r="AM99" i="21"/>
  <c r="AM67" i="21"/>
  <c r="AJ88" i="21"/>
  <c r="AJ47" i="21"/>
  <c r="AM60" i="21"/>
  <c r="AM40" i="21"/>
  <c r="AM46" i="21"/>
  <c r="AJ64" i="21"/>
  <c r="AM81" i="21"/>
  <c r="AJ50" i="21"/>
  <c r="AM95" i="21"/>
  <c r="AJ80" i="21"/>
  <c r="AM29" i="21"/>
  <c r="AM28" i="21"/>
  <c r="AJ32" i="21"/>
  <c r="AM38" i="21"/>
  <c r="AJ52" i="21"/>
  <c r="AM68" i="21"/>
  <c r="AJ100" i="21"/>
  <c r="AJ63" i="21"/>
  <c r="AJ76" i="21"/>
  <c r="AJ75" i="21"/>
  <c r="AJ97" i="21"/>
  <c r="AM89" i="21"/>
  <c r="AJ51" i="21"/>
  <c r="AI46" i="21" l="1"/>
  <c r="AI49" i="21"/>
  <c r="AI80" i="21"/>
  <c r="AI48" i="21"/>
  <c r="AI68" i="21"/>
  <c r="AI96" i="21"/>
  <c r="AI64" i="21"/>
  <c r="AI88" i="21"/>
  <c r="AI87" i="21"/>
  <c r="AI91" i="21"/>
  <c r="AI51" i="21"/>
  <c r="AI56" i="21"/>
  <c r="AI81" i="21"/>
  <c r="AI65" i="21"/>
  <c r="AI94" i="21"/>
  <c r="AI101" i="21"/>
  <c r="AI97" i="21"/>
  <c r="AI90" i="21"/>
  <c r="AI85" i="21"/>
  <c r="AI58" i="21"/>
  <c r="AI59" i="21"/>
  <c r="AI92" i="21"/>
  <c r="AI76" i="21"/>
  <c r="AI53" i="21"/>
  <c r="AI93" i="21"/>
  <c r="AI72" i="21"/>
  <c r="AI62" i="21"/>
  <c r="AI71" i="21"/>
  <c r="AI77" i="21"/>
  <c r="AI100" i="21"/>
  <c r="AI98" i="21"/>
  <c r="AI75" i="21"/>
  <c r="AI57" i="21"/>
  <c r="AI86" i="21"/>
  <c r="AI69" i="21"/>
  <c r="AI60" i="21"/>
  <c r="AI47" i="21"/>
  <c r="AI99" i="21"/>
  <c r="AI50" i="21"/>
  <c r="AI55" i="21"/>
  <c r="AI82" i="21"/>
  <c r="AI79" i="21"/>
  <c r="AI78" i="21"/>
  <c r="AI70" i="21"/>
  <c r="AI84" i="21"/>
  <c r="AI63" i="21"/>
  <c r="AI61" i="21"/>
  <c r="AI45" i="21"/>
  <c r="AI67" i="21"/>
  <c r="AI74" i="21"/>
  <c r="AI66" i="21"/>
  <c r="AI95" i="21"/>
  <c r="AI54" i="21"/>
  <c r="AI89" i="21"/>
  <c r="AI73" i="21"/>
  <c r="AI52" i="21"/>
  <c r="AI83" i="21"/>
  <c r="AE21" i="27" l="1"/>
  <c r="AE22" i="27"/>
  <c r="AE23" i="27"/>
  <c r="AE24" i="27"/>
  <c r="AE25" i="27"/>
  <c r="AE26" i="27"/>
  <c r="AE27" i="27"/>
  <c r="AE28" i="27"/>
  <c r="AE29" i="27"/>
  <c r="AE30" i="27"/>
  <c r="AE31" i="27"/>
  <c r="AE32" i="27"/>
  <c r="AE33" i="27"/>
  <c r="AE34" i="27"/>
  <c r="AE35" i="27"/>
  <c r="AE36" i="27"/>
  <c r="AE37" i="27"/>
  <c r="AE38" i="27"/>
  <c r="S22" i="27"/>
  <c r="S23" i="27"/>
  <c r="S24" i="27"/>
  <c r="S25" i="27"/>
  <c r="S26" i="27"/>
  <c r="S27" i="27"/>
  <c r="S28" i="27"/>
  <c r="S29" i="27"/>
  <c r="S30" i="27"/>
  <c r="S31" i="27"/>
  <c r="S32" i="27"/>
  <c r="S33" i="27"/>
  <c r="S34" i="27"/>
  <c r="S35" i="27"/>
  <c r="S36" i="27"/>
  <c r="S37" i="27"/>
  <c r="S38" i="27"/>
  <c r="D10" i="54"/>
  <c r="D9" i="54"/>
  <c r="D8" i="54"/>
  <c r="D7" i="54"/>
  <c r="D6" i="54"/>
  <c r="D5" i="54"/>
  <c r="D4" i="54"/>
  <c r="D3" i="54"/>
  <c r="D2" i="54"/>
  <c r="I42" i="53"/>
  <c r="H42" i="53"/>
  <c r="G42" i="53"/>
  <c r="E42" i="53"/>
  <c r="D42" i="53"/>
  <c r="C42" i="53"/>
  <c r="I41" i="53"/>
  <c r="H41" i="53"/>
  <c r="G41" i="53"/>
  <c r="G43" i="53" s="1"/>
  <c r="E41" i="53"/>
  <c r="D41" i="53"/>
  <c r="C41" i="53"/>
  <c r="E21" i="52"/>
  <c r="E22" i="52" s="1"/>
  <c r="D21" i="52"/>
  <c r="D22" i="52" s="1"/>
  <c r="C21" i="52"/>
  <c r="C22" i="52" s="1"/>
  <c r="E43" i="53" l="1"/>
  <c r="H43" i="53"/>
  <c r="I43" i="53"/>
  <c r="J43" i="53" s="1"/>
  <c r="D43" i="53"/>
  <c r="F43" i="53" s="1"/>
  <c r="C43" i="53"/>
  <c r="AA501" i="47" l="1"/>
  <c r="AM501" i="47"/>
  <c r="AA52" i="47"/>
  <c r="AM52" i="47"/>
  <c r="AA53" i="47"/>
  <c r="AM53" i="47"/>
  <c r="AA54" i="47"/>
  <c r="AM54" i="47"/>
  <c r="AA55" i="47"/>
  <c r="AM55" i="47"/>
  <c r="AA56" i="47"/>
  <c r="AM56" i="47"/>
  <c r="AA57" i="47"/>
  <c r="AM57" i="47"/>
  <c r="AA58" i="47"/>
  <c r="AM58" i="47"/>
  <c r="AA59" i="47"/>
  <c r="AM59" i="47"/>
  <c r="AA60" i="47"/>
  <c r="AM60" i="47"/>
  <c r="AA61" i="47"/>
  <c r="AM61" i="47"/>
  <c r="AA62" i="47"/>
  <c r="AM62" i="47"/>
  <c r="AA63" i="47"/>
  <c r="AM63" i="47"/>
  <c r="AA64" i="47"/>
  <c r="AM64" i="47"/>
  <c r="AA65" i="47"/>
  <c r="AM65" i="47"/>
  <c r="AA66" i="47"/>
  <c r="AM66" i="47"/>
  <c r="AA67" i="47"/>
  <c r="AM67" i="47"/>
  <c r="AA68" i="47"/>
  <c r="AM68" i="47"/>
  <c r="AA69" i="47"/>
  <c r="AM69" i="47"/>
  <c r="AA70" i="47"/>
  <c r="AM70" i="47"/>
  <c r="AA71" i="47"/>
  <c r="AM71" i="47"/>
  <c r="AA72" i="47"/>
  <c r="AM72" i="47"/>
  <c r="AA73" i="47"/>
  <c r="AM73" i="47"/>
  <c r="AA74" i="47"/>
  <c r="AM74" i="47"/>
  <c r="AA75" i="47"/>
  <c r="AM75" i="47"/>
  <c r="AA76" i="47"/>
  <c r="AM76" i="47"/>
  <c r="AA77" i="47"/>
  <c r="AM77" i="47"/>
  <c r="AA78" i="47"/>
  <c r="AM78" i="47"/>
  <c r="AA79" i="47"/>
  <c r="AM79" i="47"/>
  <c r="AA80" i="47"/>
  <c r="AM80" i="47"/>
  <c r="AA81" i="47"/>
  <c r="AM81" i="47"/>
  <c r="AA82" i="47"/>
  <c r="AM82" i="47"/>
  <c r="AA83" i="47"/>
  <c r="AM83" i="47"/>
  <c r="AA84" i="47"/>
  <c r="AM84" i="47"/>
  <c r="AA85" i="47"/>
  <c r="AM85" i="47"/>
  <c r="AA86" i="47"/>
  <c r="AM86" i="47"/>
  <c r="AA87" i="47"/>
  <c r="AM87" i="47"/>
  <c r="AA88" i="47"/>
  <c r="AM88" i="47"/>
  <c r="AA89" i="47"/>
  <c r="AM89" i="47"/>
  <c r="AA90" i="47"/>
  <c r="AM90" i="47"/>
  <c r="AA91" i="47"/>
  <c r="AM91" i="47"/>
  <c r="AA92" i="47"/>
  <c r="AM92" i="47"/>
  <c r="AA93" i="47"/>
  <c r="AM93" i="47"/>
  <c r="AA94" i="47"/>
  <c r="AM94" i="47"/>
  <c r="AA95" i="47"/>
  <c r="AM95" i="47"/>
  <c r="AA96" i="47"/>
  <c r="AM96" i="47"/>
  <c r="AA97" i="47"/>
  <c r="AM97" i="47"/>
  <c r="AA98" i="47"/>
  <c r="AM98" i="47"/>
  <c r="AA99" i="47"/>
  <c r="AM99" i="47"/>
  <c r="AA100" i="47"/>
  <c r="AM100" i="47"/>
  <c r="AA101" i="47"/>
  <c r="AM101" i="47"/>
  <c r="AA102" i="47"/>
  <c r="AM102" i="47"/>
  <c r="AA103" i="47"/>
  <c r="AM103" i="47"/>
  <c r="AA104" i="47"/>
  <c r="AM104" i="47"/>
  <c r="AA105" i="47"/>
  <c r="AM105" i="47"/>
  <c r="AA106" i="47"/>
  <c r="AM106" i="47"/>
  <c r="AA107" i="47"/>
  <c r="AM107" i="47"/>
  <c r="AA108" i="47"/>
  <c r="AM108" i="47"/>
  <c r="AA109" i="47"/>
  <c r="AM109" i="47"/>
  <c r="AA110" i="47"/>
  <c r="AM110" i="47"/>
  <c r="AA111" i="47"/>
  <c r="AM111" i="47"/>
  <c r="AA112" i="47"/>
  <c r="AM112" i="47"/>
  <c r="AA113" i="47"/>
  <c r="AM113" i="47"/>
  <c r="AA114" i="47"/>
  <c r="AM114" i="47"/>
  <c r="AA115" i="47"/>
  <c r="AM115" i="47"/>
  <c r="AA116" i="47"/>
  <c r="AM116" i="47"/>
  <c r="AA117" i="47"/>
  <c r="AM117" i="47"/>
  <c r="AA118" i="47"/>
  <c r="AM118" i="47"/>
  <c r="AA119" i="47"/>
  <c r="AM119" i="47"/>
  <c r="AA120" i="47"/>
  <c r="AM120" i="47"/>
  <c r="AA121" i="47"/>
  <c r="AM121" i="47"/>
  <c r="AA122" i="47"/>
  <c r="AM122" i="47"/>
  <c r="AA123" i="47"/>
  <c r="AM123" i="47"/>
  <c r="AA124" i="47"/>
  <c r="AM124" i="47"/>
  <c r="AA125" i="47"/>
  <c r="AM125" i="47"/>
  <c r="AA126" i="47"/>
  <c r="AM126" i="47"/>
  <c r="AA127" i="47"/>
  <c r="AM127" i="47"/>
  <c r="AA128" i="47"/>
  <c r="AM128" i="47"/>
  <c r="AA129" i="47"/>
  <c r="AM129" i="47"/>
  <c r="AA130" i="47"/>
  <c r="AM130" i="47"/>
  <c r="AA131" i="47"/>
  <c r="AM131" i="47"/>
  <c r="AA132" i="47"/>
  <c r="AM132" i="47"/>
  <c r="AA133" i="47"/>
  <c r="AM133" i="47"/>
  <c r="AA134" i="47"/>
  <c r="AM134" i="47"/>
  <c r="AA135" i="47"/>
  <c r="AM135" i="47"/>
  <c r="AA136" i="47"/>
  <c r="AM136" i="47"/>
  <c r="AA137" i="47"/>
  <c r="AM137" i="47"/>
  <c r="AA138" i="47"/>
  <c r="AM138" i="47"/>
  <c r="AA139" i="47"/>
  <c r="AM139" i="47"/>
  <c r="AA140" i="47"/>
  <c r="AM140" i="47"/>
  <c r="AA141" i="47"/>
  <c r="AM141" i="47"/>
  <c r="AA142" i="47"/>
  <c r="AM142" i="47"/>
  <c r="AA143" i="47"/>
  <c r="AM143" i="47"/>
  <c r="AA144" i="47"/>
  <c r="AM144" i="47"/>
  <c r="AA145" i="47"/>
  <c r="AM145" i="47"/>
  <c r="AA146" i="47"/>
  <c r="AM146" i="47"/>
  <c r="AA147" i="47"/>
  <c r="AM147" i="47"/>
  <c r="AA148" i="47"/>
  <c r="AM148" i="47"/>
  <c r="AA149" i="47"/>
  <c r="AM149" i="47"/>
  <c r="AA150" i="47"/>
  <c r="AM150" i="47"/>
  <c r="AA151" i="47"/>
  <c r="AM151" i="47"/>
  <c r="AA152" i="47"/>
  <c r="AM152" i="47"/>
  <c r="AA153" i="47"/>
  <c r="AM153" i="47"/>
  <c r="AA154" i="47"/>
  <c r="AM154" i="47"/>
  <c r="AA155" i="47"/>
  <c r="AM155" i="47"/>
  <c r="AA156" i="47"/>
  <c r="AM156" i="47"/>
  <c r="AA157" i="47"/>
  <c r="AM157" i="47"/>
  <c r="AA158" i="47"/>
  <c r="AM158" i="47"/>
  <c r="AA159" i="47"/>
  <c r="AM159" i="47"/>
  <c r="AA160" i="47"/>
  <c r="AM160" i="47"/>
  <c r="AA161" i="47"/>
  <c r="AM161" i="47"/>
  <c r="AA162" i="47"/>
  <c r="AM162" i="47"/>
  <c r="AA163" i="47"/>
  <c r="AM163" i="47"/>
  <c r="AA164" i="47"/>
  <c r="AM164" i="47"/>
  <c r="AA165" i="47"/>
  <c r="AM165" i="47"/>
  <c r="AA166" i="47"/>
  <c r="AM166" i="47"/>
  <c r="AA167" i="47"/>
  <c r="AM167" i="47"/>
  <c r="AA168" i="47"/>
  <c r="AM168" i="47"/>
  <c r="AA169" i="47"/>
  <c r="AM169" i="47"/>
  <c r="AA170" i="47"/>
  <c r="AM170" i="47"/>
  <c r="AA171" i="47"/>
  <c r="AM171" i="47"/>
  <c r="AA172" i="47"/>
  <c r="AM172" i="47"/>
  <c r="AA173" i="47"/>
  <c r="AM173" i="47"/>
  <c r="AA174" i="47"/>
  <c r="AM174" i="47"/>
  <c r="AA175" i="47"/>
  <c r="AM175" i="47"/>
  <c r="AA176" i="47"/>
  <c r="AM176" i="47"/>
  <c r="AA177" i="47"/>
  <c r="AM177" i="47"/>
  <c r="AA178" i="47"/>
  <c r="AM178" i="47"/>
  <c r="AA179" i="47"/>
  <c r="AM179" i="47"/>
  <c r="AA180" i="47"/>
  <c r="AM180" i="47"/>
  <c r="AA181" i="47"/>
  <c r="AM181" i="47"/>
  <c r="AA182" i="47"/>
  <c r="AM182" i="47"/>
  <c r="AA183" i="47"/>
  <c r="AM183" i="47"/>
  <c r="AA184" i="47"/>
  <c r="AM184" i="47"/>
  <c r="AA185" i="47"/>
  <c r="AM185" i="47"/>
  <c r="AA186" i="47"/>
  <c r="AM186" i="47"/>
  <c r="AA187" i="47"/>
  <c r="AM187" i="47"/>
  <c r="AA188" i="47"/>
  <c r="AM188" i="47"/>
  <c r="AA189" i="47"/>
  <c r="AM189" i="47"/>
  <c r="AA190" i="47"/>
  <c r="AM190" i="47"/>
  <c r="AA191" i="47"/>
  <c r="AM191" i="47"/>
  <c r="AA192" i="47"/>
  <c r="AM192" i="47"/>
  <c r="AA193" i="47"/>
  <c r="AM193" i="47"/>
  <c r="AA194" i="47"/>
  <c r="AM194" i="47"/>
  <c r="AA195" i="47"/>
  <c r="AM195" i="47"/>
  <c r="AA196" i="47"/>
  <c r="AM196" i="47"/>
  <c r="AA197" i="47"/>
  <c r="AM197" i="47"/>
  <c r="AA198" i="47"/>
  <c r="AM198" i="47"/>
  <c r="AA199" i="47"/>
  <c r="AM199" i="47"/>
  <c r="AA200" i="47"/>
  <c r="AM200" i="47"/>
  <c r="AA201" i="47"/>
  <c r="AM201" i="47"/>
  <c r="AA202" i="47"/>
  <c r="AM202" i="47"/>
  <c r="AA203" i="47"/>
  <c r="AM203" i="47"/>
  <c r="AA204" i="47"/>
  <c r="AM204" i="47"/>
  <c r="AA205" i="47"/>
  <c r="AM205" i="47"/>
  <c r="AA206" i="47"/>
  <c r="AM206" i="47"/>
  <c r="AA207" i="47"/>
  <c r="AM207" i="47"/>
  <c r="AA208" i="47"/>
  <c r="AM208" i="47"/>
  <c r="AA209" i="47"/>
  <c r="AM209" i="47"/>
  <c r="AA210" i="47"/>
  <c r="AM210" i="47"/>
  <c r="AA211" i="47"/>
  <c r="AM211" i="47"/>
  <c r="AA212" i="47"/>
  <c r="AM212" i="47"/>
  <c r="AA213" i="47"/>
  <c r="AM213" i="47"/>
  <c r="AA214" i="47"/>
  <c r="AM214" i="47"/>
  <c r="AA215" i="47"/>
  <c r="AM215" i="47"/>
  <c r="AA216" i="47"/>
  <c r="AM216" i="47"/>
  <c r="AA217" i="47"/>
  <c r="AM217" i="47"/>
  <c r="AA218" i="47"/>
  <c r="AM218" i="47"/>
  <c r="AA219" i="47"/>
  <c r="AM219" i="47"/>
  <c r="AA220" i="47"/>
  <c r="AM220" i="47"/>
  <c r="AA221" i="47"/>
  <c r="AM221" i="47"/>
  <c r="AA222" i="47"/>
  <c r="AM222" i="47"/>
  <c r="AA223" i="47"/>
  <c r="AM223" i="47"/>
  <c r="AA224" i="47"/>
  <c r="AM224" i="47"/>
  <c r="AA225" i="47"/>
  <c r="AM225" i="47"/>
  <c r="AA226" i="47"/>
  <c r="AM226" i="47"/>
  <c r="AA227" i="47"/>
  <c r="AM227" i="47"/>
  <c r="AA228" i="47"/>
  <c r="AM228" i="47"/>
  <c r="AA229" i="47"/>
  <c r="AM229" i="47"/>
  <c r="AA230" i="47"/>
  <c r="AM230" i="47"/>
  <c r="AA231" i="47"/>
  <c r="AM231" i="47"/>
  <c r="AA232" i="47"/>
  <c r="AM232" i="47"/>
  <c r="AA233" i="47"/>
  <c r="AM233" i="47"/>
  <c r="AA234" i="47"/>
  <c r="AM234" i="47"/>
  <c r="AA235" i="47"/>
  <c r="AM235" i="47"/>
  <c r="AA236" i="47"/>
  <c r="AM236" i="47"/>
  <c r="AA237" i="47"/>
  <c r="AM237" i="47"/>
  <c r="AA238" i="47"/>
  <c r="AM238" i="47"/>
  <c r="AA239" i="47"/>
  <c r="AM239" i="47"/>
  <c r="AA240" i="47"/>
  <c r="AM240" i="47"/>
  <c r="AA241" i="47"/>
  <c r="AM241" i="47"/>
  <c r="AA242" i="47"/>
  <c r="AM242" i="47"/>
  <c r="AA243" i="47"/>
  <c r="AM243" i="47"/>
  <c r="AA244" i="47"/>
  <c r="AM244" i="47"/>
  <c r="AA245" i="47"/>
  <c r="AM245" i="47"/>
  <c r="AA246" i="47"/>
  <c r="AM246" i="47"/>
  <c r="AA247" i="47"/>
  <c r="AM247" i="47"/>
  <c r="AA248" i="47"/>
  <c r="AM248" i="47"/>
  <c r="AA249" i="47"/>
  <c r="AM249" i="47"/>
  <c r="AA250" i="47"/>
  <c r="AM250" i="47"/>
  <c r="AA251" i="47"/>
  <c r="AM251" i="47"/>
  <c r="AA252" i="47"/>
  <c r="AM252" i="47"/>
  <c r="AA253" i="47"/>
  <c r="AM253" i="47"/>
  <c r="AA254" i="47"/>
  <c r="AM254" i="47"/>
  <c r="AA255" i="47"/>
  <c r="AM255" i="47"/>
  <c r="AA256" i="47"/>
  <c r="AM256" i="47"/>
  <c r="AA257" i="47"/>
  <c r="AM257" i="47"/>
  <c r="AA258" i="47"/>
  <c r="AM258" i="47"/>
  <c r="AA259" i="47"/>
  <c r="AM259" i="47"/>
  <c r="AA260" i="47"/>
  <c r="AM260" i="47"/>
  <c r="AA261" i="47"/>
  <c r="AM261" i="47"/>
  <c r="AA262" i="47"/>
  <c r="AM262" i="47"/>
  <c r="AA263" i="47"/>
  <c r="AM263" i="47"/>
  <c r="AA264" i="47"/>
  <c r="AM264" i="47"/>
  <c r="AA265" i="47"/>
  <c r="AM265" i="47"/>
  <c r="AA266" i="47"/>
  <c r="AM266" i="47"/>
  <c r="AA267" i="47"/>
  <c r="AM267" i="47"/>
  <c r="AA268" i="47"/>
  <c r="AM268" i="47"/>
  <c r="AA269" i="47"/>
  <c r="AM269" i="47"/>
  <c r="AA270" i="47"/>
  <c r="AM270" i="47"/>
  <c r="AA271" i="47"/>
  <c r="AM271" i="47"/>
  <c r="AA272" i="47"/>
  <c r="AM272" i="47"/>
  <c r="AA273" i="47"/>
  <c r="AM273" i="47"/>
  <c r="AA274" i="47"/>
  <c r="AM274" i="47"/>
  <c r="AA275" i="47"/>
  <c r="AM275" i="47"/>
  <c r="AA276" i="47"/>
  <c r="AM276" i="47"/>
  <c r="AA277" i="47"/>
  <c r="AM277" i="47"/>
  <c r="AA278" i="47"/>
  <c r="AM278" i="47"/>
  <c r="AA279" i="47"/>
  <c r="AM279" i="47"/>
  <c r="AA280" i="47"/>
  <c r="AM280" i="47"/>
  <c r="AA281" i="47"/>
  <c r="AM281" i="47"/>
  <c r="AA282" i="47"/>
  <c r="AM282" i="47"/>
  <c r="AA283" i="47"/>
  <c r="AM283" i="47"/>
  <c r="AA284" i="47"/>
  <c r="AM284" i="47"/>
  <c r="AA285" i="47"/>
  <c r="AM285" i="47"/>
  <c r="AA286" i="47"/>
  <c r="AM286" i="47"/>
  <c r="AA287" i="47"/>
  <c r="AM287" i="47"/>
  <c r="AA288" i="47"/>
  <c r="AM288" i="47"/>
  <c r="AA289" i="47"/>
  <c r="AM289" i="47"/>
  <c r="AA290" i="47"/>
  <c r="AM290" i="47"/>
  <c r="AA291" i="47"/>
  <c r="AM291" i="47"/>
  <c r="AA292" i="47"/>
  <c r="AM292" i="47"/>
  <c r="AA293" i="47"/>
  <c r="AM293" i="47"/>
  <c r="AA294" i="47"/>
  <c r="AM294" i="47"/>
  <c r="AA295" i="47"/>
  <c r="AM295" i="47"/>
  <c r="AA296" i="47"/>
  <c r="AM296" i="47"/>
  <c r="AA297" i="47"/>
  <c r="AM297" i="47"/>
  <c r="AA298" i="47"/>
  <c r="AM298" i="47"/>
  <c r="AA299" i="47"/>
  <c r="AM299" i="47"/>
  <c r="AA300" i="47"/>
  <c r="AM300" i="47"/>
  <c r="AA301" i="47"/>
  <c r="AM301" i="47"/>
  <c r="AA302" i="47"/>
  <c r="AM302" i="47"/>
  <c r="AA303" i="47"/>
  <c r="AM303" i="47"/>
  <c r="AA304" i="47"/>
  <c r="AM304" i="47"/>
  <c r="AA305" i="47"/>
  <c r="AM305" i="47"/>
  <c r="AA306" i="47"/>
  <c r="AM306" i="47"/>
  <c r="AA307" i="47"/>
  <c r="AM307" i="47"/>
  <c r="AA308" i="47"/>
  <c r="AM308" i="47"/>
  <c r="AA309" i="47"/>
  <c r="AM309" i="47"/>
  <c r="AA310" i="47"/>
  <c r="AM310" i="47"/>
  <c r="AA311" i="47"/>
  <c r="AM311" i="47"/>
  <c r="AA312" i="47"/>
  <c r="AM312" i="47"/>
  <c r="AA313" i="47"/>
  <c r="AM313" i="47"/>
  <c r="AA314" i="47"/>
  <c r="AM314" i="47"/>
  <c r="AA315" i="47"/>
  <c r="AM315" i="47"/>
  <c r="AA316" i="47"/>
  <c r="AM316" i="47"/>
  <c r="AA317" i="47"/>
  <c r="AM317" i="47"/>
  <c r="AA318" i="47"/>
  <c r="AM318" i="47"/>
  <c r="AA319" i="47"/>
  <c r="AM319" i="47"/>
  <c r="AA320" i="47"/>
  <c r="AM320" i="47"/>
  <c r="AA321" i="47"/>
  <c r="AM321" i="47"/>
  <c r="AA322" i="47"/>
  <c r="AM322" i="47"/>
  <c r="AA323" i="47"/>
  <c r="AM323" i="47"/>
  <c r="AA324" i="47"/>
  <c r="AM324" i="47"/>
  <c r="AA325" i="47"/>
  <c r="AM325" i="47"/>
  <c r="AA326" i="47"/>
  <c r="AM326" i="47"/>
  <c r="AA327" i="47"/>
  <c r="AM327" i="47"/>
  <c r="AA328" i="47"/>
  <c r="AM328" i="47"/>
  <c r="AA329" i="47"/>
  <c r="AM329" i="47"/>
  <c r="AA330" i="47"/>
  <c r="AM330" i="47"/>
  <c r="AA331" i="47"/>
  <c r="AM331" i="47"/>
  <c r="AA332" i="47"/>
  <c r="AM332" i="47"/>
  <c r="AA333" i="47"/>
  <c r="AM333" i="47"/>
  <c r="AA334" i="47"/>
  <c r="AM334" i="47"/>
  <c r="AA335" i="47"/>
  <c r="AM335" i="47"/>
  <c r="AA336" i="47"/>
  <c r="AM336" i="47"/>
  <c r="AA337" i="47"/>
  <c r="AM337" i="47"/>
  <c r="AA338" i="47"/>
  <c r="AM338" i="47"/>
  <c r="AA339" i="47"/>
  <c r="AM339" i="47"/>
  <c r="AA340" i="47"/>
  <c r="AM340" i="47"/>
  <c r="AA341" i="47"/>
  <c r="AM341" i="47"/>
  <c r="AA342" i="47"/>
  <c r="AM342" i="47"/>
  <c r="AA343" i="47"/>
  <c r="AM343" i="47"/>
  <c r="AA344" i="47"/>
  <c r="AM344" i="47"/>
  <c r="AA345" i="47"/>
  <c r="AM345" i="47"/>
  <c r="AA346" i="47"/>
  <c r="AM346" i="47"/>
  <c r="AA347" i="47"/>
  <c r="AM347" i="47"/>
  <c r="AA348" i="47"/>
  <c r="AM348" i="47"/>
  <c r="AA349" i="47"/>
  <c r="AM349" i="47"/>
  <c r="AA350" i="47"/>
  <c r="AM350" i="47"/>
  <c r="AA351" i="47"/>
  <c r="AM351" i="47"/>
  <c r="AA352" i="47"/>
  <c r="AM352" i="47"/>
  <c r="AA353" i="47"/>
  <c r="AM353" i="47"/>
  <c r="AA354" i="47"/>
  <c r="AM354" i="47"/>
  <c r="AA355" i="47"/>
  <c r="AM355" i="47"/>
  <c r="AA356" i="47"/>
  <c r="AM356" i="47"/>
  <c r="AA357" i="47"/>
  <c r="AM357" i="47"/>
  <c r="AA358" i="47"/>
  <c r="AM358" i="47"/>
  <c r="AA359" i="47"/>
  <c r="AM359" i="47"/>
  <c r="AA360" i="47"/>
  <c r="AM360" i="47"/>
  <c r="AA361" i="47"/>
  <c r="AM361" i="47"/>
  <c r="AA362" i="47"/>
  <c r="AM362" i="47"/>
  <c r="AA363" i="47"/>
  <c r="AM363" i="47"/>
  <c r="AA364" i="47"/>
  <c r="AM364" i="47"/>
  <c r="AA365" i="47"/>
  <c r="AM365" i="47"/>
  <c r="AA366" i="47"/>
  <c r="AM366" i="47"/>
  <c r="AA367" i="47"/>
  <c r="AM367" i="47"/>
  <c r="AA368" i="47"/>
  <c r="AM368" i="47"/>
  <c r="AA369" i="47"/>
  <c r="AM369" i="47"/>
  <c r="AA370" i="47"/>
  <c r="AM370" i="47"/>
  <c r="AA371" i="47"/>
  <c r="AM371" i="47"/>
  <c r="AA372" i="47"/>
  <c r="AM372" i="47"/>
  <c r="AA373" i="47"/>
  <c r="AM373" i="47"/>
  <c r="AA374" i="47"/>
  <c r="AM374" i="47"/>
  <c r="AA375" i="47"/>
  <c r="AM375" i="47"/>
  <c r="AA376" i="47"/>
  <c r="AM376" i="47"/>
  <c r="AA377" i="47"/>
  <c r="AM377" i="47"/>
  <c r="AA378" i="47"/>
  <c r="AM378" i="47"/>
  <c r="AA379" i="47"/>
  <c r="AM379" i="47"/>
  <c r="AA380" i="47"/>
  <c r="AM380" i="47"/>
  <c r="AA381" i="47"/>
  <c r="AM381" i="47"/>
  <c r="AA382" i="47"/>
  <c r="AM382" i="47"/>
  <c r="AA383" i="47"/>
  <c r="AM383" i="47"/>
  <c r="AA384" i="47"/>
  <c r="AM384" i="47"/>
  <c r="AA385" i="47"/>
  <c r="AM385" i="47"/>
  <c r="AA386" i="47"/>
  <c r="AM386" i="47"/>
  <c r="AA387" i="47"/>
  <c r="AM387" i="47"/>
  <c r="AA388" i="47"/>
  <c r="AM388" i="47"/>
  <c r="AA389" i="47"/>
  <c r="AM389" i="47"/>
  <c r="AA390" i="47"/>
  <c r="AM390" i="47"/>
  <c r="AA391" i="47"/>
  <c r="AM391" i="47"/>
  <c r="AA392" i="47"/>
  <c r="AM392" i="47"/>
  <c r="AA393" i="47"/>
  <c r="AM393" i="47"/>
  <c r="AA394" i="47"/>
  <c r="AM394" i="47"/>
  <c r="AA395" i="47"/>
  <c r="AM395" i="47"/>
  <c r="AA396" i="47"/>
  <c r="AM396" i="47"/>
  <c r="AA397" i="47"/>
  <c r="AM397" i="47"/>
  <c r="AA398" i="47"/>
  <c r="AM398" i="47"/>
  <c r="AA399" i="47"/>
  <c r="AM399" i="47"/>
  <c r="AA400" i="47"/>
  <c r="AM400" i="47"/>
  <c r="AA401" i="47"/>
  <c r="AM401" i="47"/>
  <c r="AA402" i="47"/>
  <c r="AM402" i="47"/>
  <c r="AA403" i="47"/>
  <c r="AM403" i="47"/>
  <c r="AA404" i="47"/>
  <c r="AM404" i="47"/>
  <c r="AA405" i="47"/>
  <c r="AM405" i="47"/>
  <c r="AA406" i="47"/>
  <c r="AM406" i="47"/>
  <c r="AA407" i="47"/>
  <c r="AM407" i="47"/>
  <c r="AA408" i="47"/>
  <c r="AM408" i="47"/>
  <c r="AA409" i="47"/>
  <c r="AM409" i="47"/>
  <c r="AA410" i="47"/>
  <c r="AM410" i="47"/>
  <c r="AA411" i="47"/>
  <c r="AM411" i="47"/>
  <c r="AA412" i="47"/>
  <c r="AM412" i="47"/>
  <c r="AA413" i="47"/>
  <c r="AM413" i="47"/>
  <c r="AA414" i="47"/>
  <c r="AM414" i="47"/>
  <c r="AA415" i="47"/>
  <c r="AM415" i="47"/>
  <c r="AA416" i="47"/>
  <c r="AM416" i="47"/>
  <c r="AA417" i="47"/>
  <c r="AM417" i="47"/>
  <c r="AA418" i="47"/>
  <c r="AM418" i="47"/>
  <c r="AA419" i="47"/>
  <c r="AM419" i="47"/>
  <c r="AA420" i="47"/>
  <c r="AM420" i="47"/>
  <c r="AA421" i="47"/>
  <c r="AM421" i="47"/>
  <c r="AA422" i="47"/>
  <c r="AM422" i="47"/>
  <c r="AA423" i="47"/>
  <c r="AM423" i="47"/>
  <c r="AA424" i="47"/>
  <c r="AM424" i="47"/>
  <c r="AA425" i="47"/>
  <c r="AM425" i="47"/>
  <c r="AA426" i="47"/>
  <c r="AM426" i="47"/>
  <c r="AA427" i="47"/>
  <c r="AM427" i="47"/>
  <c r="AA428" i="47"/>
  <c r="AM428" i="47"/>
  <c r="AA429" i="47"/>
  <c r="AM429" i="47"/>
  <c r="AA430" i="47"/>
  <c r="AM430" i="47"/>
  <c r="AA431" i="47"/>
  <c r="AM431" i="47"/>
  <c r="AA432" i="47"/>
  <c r="AM432" i="47"/>
  <c r="AA433" i="47"/>
  <c r="AM433" i="47"/>
  <c r="AA434" i="47"/>
  <c r="AM434" i="47"/>
  <c r="AA435" i="47"/>
  <c r="AM435" i="47"/>
  <c r="AA436" i="47"/>
  <c r="AM436" i="47"/>
  <c r="AA437" i="47"/>
  <c r="AM437" i="47"/>
  <c r="AA438" i="47"/>
  <c r="AM438" i="47"/>
  <c r="AA439" i="47"/>
  <c r="AM439" i="47"/>
  <c r="AA440" i="47"/>
  <c r="AM440" i="47"/>
  <c r="AA441" i="47"/>
  <c r="AM441" i="47"/>
  <c r="AA442" i="47"/>
  <c r="AM442" i="47"/>
  <c r="AA443" i="47"/>
  <c r="AM443" i="47"/>
  <c r="AA444" i="47"/>
  <c r="AM444" i="47"/>
  <c r="AA445" i="47"/>
  <c r="AM445" i="47"/>
  <c r="AA446" i="47"/>
  <c r="AM446" i="47"/>
  <c r="AA447" i="47"/>
  <c r="AM447" i="47"/>
  <c r="AA448" i="47"/>
  <c r="AM448" i="47"/>
  <c r="AA449" i="47"/>
  <c r="AM449" i="47"/>
  <c r="AA450" i="47"/>
  <c r="AM450" i="47"/>
  <c r="AA451" i="47"/>
  <c r="AM451" i="47"/>
  <c r="AA452" i="47"/>
  <c r="AM452" i="47"/>
  <c r="AA453" i="47"/>
  <c r="AM453" i="47"/>
  <c r="AA454" i="47"/>
  <c r="AM454" i="47"/>
  <c r="AA455" i="47"/>
  <c r="AM455" i="47"/>
  <c r="AA456" i="47"/>
  <c r="AM456" i="47"/>
  <c r="AA457" i="47"/>
  <c r="AM457" i="47"/>
  <c r="AA458" i="47"/>
  <c r="AM458" i="47"/>
  <c r="AA459" i="47"/>
  <c r="AM459" i="47"/>
  <c r="AA460" i="47"/>
  <c r="AM460" i="47"/>
  <c r="AA461" i="47"/>
  <c r="AM461" i="47"/>
  <c r="AA462" i="47"/>
  <c r="AM462" i="47"/>
  <c r="AA463" i="47"/>
  <c r="AM463" i="47"/>
  <c r="AA464" i="47"/>
  <c r="AM464" i="47"/>
  <c r="AA465" i="47"/>
  <c r="AM465" i="47"/>
  <c r="AA466" i="47"/>
  <c r="AM466" i="47"/>
  <c r="AA467" i="47"/>
  <c r="AM467" i="47"/>
  <c r="AA468" i="47"/>
  <c r="AM468" i="47"/>
  <c r="AA469" i="47"/>
  <c r="AM469" i="47"/>
  <c r="AA470" i="47"/>
  <c r="AM470" i="47"/>
  <c r="AA471" i="47"/>
  <c r="AM471" i="47"/>
  <c r="AA472" i="47"/>
  <c r="AM472" i="47"/>
  <c r="AA473" i="47"/>
  <c r="AM473" i="47"/>
  <c r="AA474" i="47"/>
  <c r="AM474" i="47"/>
  <c r="AA475" i="47"/>
  <c r="AM475" i="47"/>
  <c r="AA476" i="47"/>
  <c r="AM476" i="47"/>
  <c r="AA477" i="47"/>
  <c r="AM477" i="47"/>
  <c r="AA478" i="47"/>
  <c r="AM478" i="47"/>
  <c r="AA479" i="47"/>
  <c r="AM479" i="47"/>
  <c r="AA480" i="47"/>
  <c r="AM480" i="47"/>
  <c r="AA481" i="47"/>
  <c r="AM481" i="47"/>
  <c r="AA482" i="47"/>
  <c r="AM482" i="47"/>
  <c r="AA483" i="47"/>
  <c r="AM483" i="47"/>
  <c r="AA484" i="47"/>
  <c r="AM484" i="47"/>
  <c r="AA485" i="47"/>
  <c r="AM485" i="47"/>
  <c r="AA486" i="47"/>
  <c r="AM486" i="47"/>
  <c r="AA487" i="47"/>
  <c r="AM487" i="47"/>
  <c r="AA488" i="47"/>
  <c r="AM488" i="47"/>
  <c r="AA489" i="47"/>
  <c r="AM489" i="47"/>
  <c r="AA490" i="47"/>
  <c r="AM490" i="47"/>
  <c r="AA491" i="47"/>
  <c r="AM491" i="47"/>
  <c r="AA492" i="47"/>
  <c r="AM492" i="47"/>
  <c r="AA493" i="47"/>
  <c r="AM493" i="47"/>
  <c r="AA494" i="47"/>
  <c r="AM494" i="47"/>
  <c r="AA495" i="47"/>
  <c r="AM495" i="47"/>
  <c r="AA496" i="47"/>
  <c r="AM496" i="47"/>
  <c r="AA497" i="47"/>
  <c r="AM497" i="47"/>
  <c r="AA498" i="47"/>
  <c r="AM498" i="47"/>
  <c r="AA499" i="47"/>
  <c r="AM499" i="47"/>
  <c r="AA500" i="47"/>
  <c r="AM500" i="47"/>
  <c r="W1" i="27"/>
  <c r="F100" i="51"/>
  <c r="E100" i="51" s="1"/>
  <c r="D100" i="51"/>
  <c r="C100" i="51"/>
  <c r="F99" i="51"/>
  <c r="E99" i="51"/>
  <c r="D99" i="51"/>
  <c r="C99" i="51"/>
  <c r="F98" i="51"/>
  <c r="E98" i="51" s="1"/>
  <c r="D98" i="51"/>
  <c r="C98" i="51"/>
  <c r="F97" i="51"/>
  <c r="E97" i="51"/>
  <c r="D97" i="51"/>
  <c r="C97" i="51"/>
  <c r="F96" i="51"/>
  <c r="E96" i="51" s="1"/>
  <c r="D96" i="51"/>
  <c r="C96" i="51"/>
  <c r="F95" i="51"/>
  <c r="E95" i="51"/>
  <c r="D95" i="51"/>
  <c r="C95" i="51"/>
  <c r="F94" i="51"/>
  <c r="E94" i="51" s="1"/>
  <c r="D94" i="51"/>
  <c r="C94" i="51"/>
  <c r="F93" i="51"/>
  <c r="E93" i="51"/>
  <c r="D93" i="51"/>
  <c r="C93" i="51"/>
  <c r="F92" i="51"/>
  <c r="E92" i="51" s="1"/>
  <c r="D92" i="51"/>
  <c r="C92" i="51"/>
  <c r="F91" i="51"/>
  <c r="E91" i="51"/>
  <c r="D91" i="51"/>
  <c r="C91" i="51"/>
  <c r="F90" i="51"/>
  <c r="E90" i="51" s="1"/>
  <c r="D90" i="51"/>
  <c r="C90" i="51"/>
  <c r="F89" i="51"/>
  <c r="E89" i="51"/>
  <c r="D89" i="51"/>
  <c r="C89" i="51"/>
  <c r="F88" i="51"/>
  <c r="E88" i="51" s="1"/>
  <c r="D88" i="51"/>
  <c r="C88" i="51"/>
  <c r="F87" i="51"/>
  <c r="E87" i="51"/>
  <c r="D87" i="51"/>
  <c r="C87" i="51"/>
  <c r="F86" i="51"/>
  <c r="E86" i="51" s="1"/>
  <c r="D86" i="51"/>
  <c r="C86" i="51"/>
  <c r="F85" i="51"/>
  <c r="E85" i="51"/>
  <c r="D85" i="51"/>
  <c r="C85" i="51"/>
  <c r="F84" i="51"/>
  <c r="E84" i="51" s="1"/>
  <c r="D84" i="51"/>
  <c r="C84" i="51"/>
  <c r="F83" i="51"/>
  <c r="E83" i="51"/>
  <c r="D83" i="51"/>
  <c r="C83" i="51"/>
  <c r="F82" i="51"/>
  <c r="E82" i="51" s="1"/>
  <c r="D82" i="51"/>
  <c r="C82" i="51"/>
  <c r="F81" i="51"/>
  <c r="E81" i="51"/>
  <c r="D81" i="51"/>
  <c r="C81" i="51"/>
  <c r="F80" i="51"/>
  <c r="E80" i="51" s="1"/>
  <c r="D80" i="51"/>
  <c r="C80" i="51"/>
  <c r="F79" i="51"/>
  <c r="E79" i="51"/>
  <c r="D79" i="51"/>
  <c r="C79" i="51"/>
  <c r="F78" i="51"/>
  <c r="E78" i="51" s="1"/>
  <c r="D78" i="51"/>
  <c r="C78" i="51"/>
  <c r="F77" i="51"/>
  <c r="E77" i="51"/>
  <c r="D77" i="51"/>
  <c r="C77" i="51"/>
  <c r="F76" i="51"/>
  <c r="E76" i="51" s="1"/>
  <c r="D76" i="51"/>
  <c r="C76" i="51"/>
  <c r="F75" i="51"/>
  <c r="E75" i="51"/>
  <c r="D75" i="51"/>
  <c r="C75" i="51"/>
  <c r="F74" i="51"/>
  <c r="E74" i="51" s="1"/>
  <c r="D74" i="51"/>
  <c r="C74" i="51"/>
  <c r="F73" i="51"/>
  <c r="E73" i="51"/>
  <c r="D73" i="51"/>
  <c r="C73" i="51"/>
  <c r="F72" i="51"/>
  <c r="E72" i="51" s="1"/>
  <c r="D72" i="51"/>
  <c r="C72" i="51"/>
  <c r="F71" i="51"/>
  <c r="E71" i="51"/>
  <c r="D71" i="51"/>
  <c r="C71" i="51"/>
  <c r="F70" i="51"/>
  <c r="E70" i="51" s="1"/>
  <c r="D70" i="51"/>
  <c r="C70" i="51"/>
  <c r="F69" i="51"/>
  <c r="E69" i="51"/>
  <c r="D69" i="51"/>
  <c r="C69" i="51"/>
  <c r="F68" i="51"/>
  <c r="E68" i="51" s="1"/>
  <c r="D68" i="51"/>
  <c r="C68" i="51"/>
  <c r="F67" i="51"/>
  <c r="E67" i="51"/>
  <c r="D67" i="51"/>
  <c r="C67" i="51"/>
  <c r="F66" i="51"/>
  <c r="E66" i="51" s="1"/>
  <c r="D66" i="51"/>
  <c r="C66" i="51"/>
  <c r="F65" i="51"/>
  <c r="E65" i="51"/>
  <c r="D65" i="51"/>
  <c r="C65" i="51"/>
  <c r="F64" i="51"/>
  <c r="E64" i="51" s="1"/>
  <c r="D64" i="51"/>
  <c r="C64" i="51"/>
  <c r="F63" i="51"/>
  <c r="E63" i="51"/>
  <c r="D63" i="51"/>
  <c r="C63" i="51"/>
  <c r="F62" i="51"/>
  <c r="E62" i="51" s="1"/>
  <c r="D62" i="51"/>
  <c r="C62" i="51"/>
  <c r="F61" i="51"/>
  <c r="E61" i="51"/>
  <c r="D61" i="51"/>
  <c r="C61" i="51"/>
  <c r="F60" i="51"/>
  <c r="E60" i="51" s="1"/>
  <c r="D60" i="51"/>
  <c r="C60" i="51"/>
  <c r="F59" i="51"/>
  <c r="E59" i="51"/>
  <c r="D59" i="51"/>
  <c r="C59" i="51"/>
  <c r="F58" i="51"/>
  <c r="E58" i="51" s="1"/>
  <c r="D58" i="51"/>
  <c r="C58" i="51"/>
  <c r="F57" i="51"/>
  <c r="E57" i="51"/>
  <c r="D57" i="51"/>
  <c r="C57" i="51"/>
  <c r="F56" i="51"/>
  <c r="E56" i="51" s="1"/>
  <c r="D56" i="51"/>
  <c r="C56" i="51"/>
  <c r="F55" i="51"/>
  <c r="E55" i="51"/>
  <c r="D55" i="51"/>
  <c r="C55" i="51"/>
  <c r="F54" i="51"/>
  <c r="E54" i="51" s="1"/>
  <c r="D54" i="51"/>
  <c r="C54" i="51"/>
  <c r="F53" i="51"/>
  <c r="E53" i="51"/>
  <c r="D53" i="51"/>
  <c r="C53" i="51"/>
  <c r="F52" i="51"/>
  <c r="E52" i="51" s="1"/>
  <c r="D52" i="51"/>
  <c r="C52" i="51"/>
  <c r="F51" i="51"/>
  <c r="E51" i="51"/>
  <c r="D51" i="51"/>
  <c r="C51" i="51"/>
  <c r="F50" i="51"/>
  <c r="E50" i="51" s="1"/>
  <c r="D50" i="51"/>
  <c r="C50" i="51"/>
  <c r="F49" i="51"/>
  <c r="E49" i="51"/>
  <c r="D49" i="51"/>
  <c r="C49" i="51"/>
  <c r="F48" i="51"/>
  <c r="E48" i="51" s="1"/>
  <c r="D48" i="51"/>
  <c r="C48" i="51"/>
  <c r="F47" i="51"/>
  <c r="E47" i="51"/>
  <c r="D47" i="51"/>
  <c r="C47" i="51"/>
  <c r="F46" i="51"/>
  <c r="E46" i="51" s="1"/>
  <c r="D46" i="51"/>
  <c r="C46" i="51"/>
  <c r="F45" i="51"/>
  <c r="E45" i="51"/>
  <c r="D45" i="51"/>
  <c r="C45" i="51"/>
  <c r="F44" i="51"/>
  <c r="E44" i="51" s="1"/>
  <c r="D44" i="51"/>
  <c r="C44" i="51"/>
  <c r="F43" i="51"/>
  <c r="E43" i="51"/>
  <c r="D43" i="51"/>
  <c r="C43" i="51"/>
  <c r="F42" i="51"/>
  <c r="E42" i="51" s="1"/>
  <c r="D42" i="51"/>
  <c r="C42" i="51"/>
  <c r="F41" i="51"/>
  <c r="E41" i="51"/>
  <c r="D41" i="51"/>
  <c r="C41" i="51"/>
  <c r="F40" i="51"/>
  <c r="E40" i="51" s="1"/>
  <c r="D40" i="51"/>
  <c r="C40" i="51"/>
  <c r="F39" i="51"/>
  <c r="E39" i="51"/>
  <c r="D39" i="51"/>
  <c r="C39" i="51"/>
  <c r="F38" i="51"/>
  <c r="E38" i="51" s="1"/>
  <c r="D38" i="51"/>
  <c r="C38" i="51"/>
  <c r="F37" i="51"/>
  <c r="E37" i="51"/>
  <c r="D37" i="51"/>
  <c r="C37" i="51"/>
  <c r="F36" i="51"/>
  <c r="E36" i="51" s="1"/>
  <c r="D36" i="51"/>
  <c r="C36" i="51"/>
  <c r="F35" i="51"/>
  <c r="E35" i="51"/>
  <c r="D35" i="51"/>
  <c r="C35" i="51"/>
  <c r="F34" i="51"/>
  <c r="E34" i="51" s="1"/>
  <c r="D34" i="51"/>
  <c r="C34" i="51"/>
  <c r="F33" i="51"/>
  <c r="E33" i="51"/>
  <c r="D33" i="51"/>
  <c r="C33" i="51"/>
  <c r="F32" i="51"/>
  <c r="E32" i="51" s="1"/>
  <c r="D32" i="51"/>
  <c r="C32" i="51"/>
  <c r="F31" i="51"/>
  <c r="E31" i="51"/>
  <c r="D31" i="51"/>
  <c r="C31" i="51"/>
  <c r="F30" i="51"/>
  <c r="E30" i="51" s="1"/>
  <c r="D30" i="51"/>
  <c r="C30" i="51"/>
  <c r="F29" i="51"/>
  <c r="E29" i="51"/>
  <c r="D29" i="51"/>
  <c r="C29" i="51"/>
  <c r="F28" i="51"/>
  <c r="E28" i="51" s="1"/>
  <c r="D28" i="51"/>
  <c r="C28" i="51"/>
  <c r="F27" i="51"/>
  <c r="E27" i="51"/>
  <c r="D27" i="51"/>
  <c r="C27" i="51"/>
  <c r="F26" i="51"/>
  <c r="E26" i="51" s="1"/>
  <c r="D26" i="51"/>
  <c r="C26" i="51"/>
  <c r="F25" i="51"/>
  <c r="E25" i="51"/>
  <c r="D25" i="51"/>
  <c r="C25" i="51"/>
  <c r="F24" i="51"/>
  <c r="E24" i="51" s="1"/>
  <c r="D24" i="51"/>
  <c r="C24" i="51"/>
  <c r="F23" i="51"/>
  <c r="E23" i="51"/>
  <c r="D23" i="51"/>
  <c r="C23" i="51"/>
  <c r="F22" i="51"/>
  <c r="E22" i="51" s="1"/>
  <c r="D22" i="51"/>
  <c r="C22" i="51"/>
  <c r="F21" i="51"/>
  <c r="E21" i="51"/>
  <c r="D21" i="51"/>
  <c r="C21" i="51"/>
  <c r="F20" i="51"/>
  <c r="E20" i="51" s="1"/>
  <c r="D20" i="51"/>
  <c r="C20" i="51"/>
  <c r="E19" i="51"/>
  <c r="D19" i="51"/>
  <c r="C19" i="51"/>
  <c r="F18" i="51"/>
  <c r="E18" i="51" s="1"/>
  <c r="D18" i="51"/>
  <c r="C18" i="51"/>
  <c r="F17" i="51"/>
  <c r="E17" i="51"/>
  <c r="D17" i="51"/>
  <c r="C17" i="51"/>
  <c r="F16" i="51"/>
  <c r="E16" i="51" s="1"/>
  <c r="D16" i="51"/>
  <c r="C16" i="51"/>
  <c r="F15" i="51"/>
  <c r="E15" i="51" s="1"/>
  <c r="D15" i="51"/>
  <c r="C15" i="51"/>
  <c r="F14" i="51"/>
  <c r="E14" i="51" s="1"/>
  <c r="D14" i="51"/>
  <c r="C14" i="51"/>
  <c r="F13" i="51"/>
  <c r="E13" i="51"/>
  <c r="D13" i="51"/>
  <c r="C13" i="51"/>
  <c r="F12" i="51"/>
  <c r="E12" i="51" s="1"/>
  <c r="D12" i="51"/>
  <c r="C12" i="51"/>
  <c r="F11" i="51"/>
  <c r="E11" i="51"/>
  <c r="D11" i="51"/>
  <c r="C11" i="51"/>
  <c r="F10" i="51"/>
  <c r="E10" i="51" s="1"/>
  <c r="D10" i="51"/>
  <c r="C10" i="51"/>
  <c r="F9" i="51"/>
  <c r="E9" i="51"/>
  <c r="D9" i="51"/>
  <c r="C9" i="51"/>
  <c r="F8" i="51"/>
  <c r="E8" i="51" s="1"/>
  <c r="D8" i="51"/>
  <c r="C8" i="51"/>
  <c r="F7" i="51"/>
  <c r="E7" i="51"/>
  <c r="D7" i="51"/>
  <c r="C7" i="51"/>
  <c r="F6" i="51"/>
  <c r="E6" i="51" s="1"/>
  <c r="D6" i="51"/>
  <c r="C6" i="51"/>
  <c r="F5" i="51"/>
  <c r="E5" i="51"/>
  <c r="D5" i="51"/>
  <c r="C5" i="51"/>
  <c r="F4" i="51"/>
  <c r="E4" i="51" s="1"/>
  <c r="D4" i="51"/>
  <c r="C4" i="51"/>
  <c r="F3" i="51"/>
  <c r="E3" i="51"/>
  <c r="D3" i="51"/>
  <c r="C3" i="51"/>
  <c r="F2" i="51"/>
  <c r="E2" i="51" s="1"/>
  <c r="D2" i="51"/>
  <c r="C2" i="51"/>
  <c r="AE4" i="27"/>
  <c r="AE5" i="27"/>
  <c r="AE6" i="27"/>
  <c r="AE7" i="27"/>
  <c r="AE8" i="27"/>
  <c r="AE9" i="27"/>
  <c r="AE10" i="27"/>
  <c r="AE11" i="27"/>
  <c r="AE12" i="27"/>
  <c r="AE13" i="27"/>
  <c r="AE14" i="27"/>
  <c r="AE15" i="27"/>
  <c r="AE16" i="27"/>
  <c r="AE17" i="27"/>
  <c r="AE18" i="27"/>
  <c r="AE19" i="27"/>
  <c r="AE20" i="27"/>
  <c r="AE3" i="27"/>
  <c r="S4" i="27"/>
  <c r="S5" i="27"/>
  <c r="S6" i="27"/>
  <c r="S7" i="27"/>
  <c r="S8" i="27"/>
  <c r="S9" i="27"/>
  <c r="S10" i="27"/>
  <c r="S11" i="27"/>
  <c r="S12" i="27"/>
  <c r="S13" i="27"/>
  <c r="S14" i="27"/>
  <c r="S15" i="27"/>
  <c r="S16" i="27"/>
  <c r="S17" i="27"/>
  <c r="S18" i="27"/>
  <c r="S19" i="27"/>
  <c r="S20" i="27"/>
  <c r="S21" i="27"/>
  <c r="S3" i="27"/>
  <c r="B534" i="49" l="1"/>
  <c r="G22" i="49"/>
  <c r="B25" i="49" l="1"/>
  <c r="B24" i="49"/>
  <c r="B23" i="49"/>
  <c r="Q14" i="49"/>
  <c r="Q15" i="49"/>
  <c r="C34" i="49"/>
  <c r="C35" i="49" l="1"/>
  <c r="B34" i="49"/>
  <c r="D34" i="49" s="1"/>
  <c r="E34" i="49" s="1"/>
  <c r="O20" i="49"/>
  <c r="H34" i="49"/>
  <c r="O22" i="49"/>
  <c r="O23" i="49"/>
  <c r="O12" i="49"/>
  <c r="O21" i="49"/>
  <c r="O17" i="49"/>
  <c r="O18" i="49"/>
  <c r="O19" i="49"/>
  <c r="O14" i="49"/>
  <c r="O24" i="49"/>
  <c r="Q12" i="49" s="1"/>
  <c r="O13" i="49"/>
  <c r="O16" i="49"/>
  <c r="O15" i="49"/>
  <c r="B35" i="49" l="1"/>
  <c r="H35" i="49"/>
  <c r="C36" i="49"/>
  <c r="I34" i="49"/>
  <c r="P12" i="49"/>
  <c r="P13" i="49" s="1"/>
  <c r="P14" i="49" s="1"/>
  <c r="P15" i="49" s="1"/>
  <c r="P16" i="49" s="1"/>
  <c r="P17" i="49" s="1"/>
  <c r="P18" i="49" s="1"/>
  <c r="P19" i="49" s="1"/>
  <c r="P20" i="49" s="1"/>
  <c r="P21" i="49" s="1"/>
  <c r="P22" i="49" s="1"/>
  <c r="P23" i="49" s="1"/>
  <c r="P24" i="49" s="1"/>
  <c r="AA38" i="47"/>
  <c r="AM38" i="47"/>
  <c r="AA39" i="47"/>
  <c r="AM39" i="47"/>
  <c r="AA40" i="47"/>
  <c r="AM40" i="47"/>
  <c r="AA41" i="47"/>
  <c r="AM41" i="47"/>
  <c r="AA42" i="47"/>
  <c r="AM42" i="47"/>
  <c r="AA43" i="47"/>
  <c r="AM43" i="47"/>
  <c r="AA44" i="47"/>
  <c r="AM44" i="47"/>
  <c r="AA45" i="47"/>
  <c r="AM45" i="47"/>
  <c r="AA46" i="47"/>
  <c r="AM46" i="47"/>
  <c r="AA47" i="47"/>
  <c r="AM47" i="47"/>
  <c r="AA48" i="47"/>
  <c r="AM48" i="47"/>
  <c r="AA49" i="47"/>
  <c r="AM49" i="47"/>
  <c r="AA50" i="47"/>
  <c r="AM50" i="47"/>
  <c r="AA51" i="47"/>
  <c r="AM51" i="47"/>
  <c r="AM4" i="47"/>
  <c r="AM5" i="47"/>
  <c r="AM6" i="47"/>
  <c r="AM7" i="47"/>
  <c r="AM8" i="47"/>
  <c r="AM9" i="47"/>
  <c r="AM10" i="47"/>
  <c r="AM11" i="47"/>
  <c r="AM12" i="47"/>
  <c r="AM13" i="47"/>
  <c r="AM14" i="47"/>
  <c r="AM15" i="47"/>
  <c r="AM16" i="47"/>
  <c r="AM17" i="47"/>
  <c r="AM18" i="47"/>
  <c r="AM19" i="47"/>
  <c r="AM20" i="47"/>
  <c r="AM21" i="47"/>
  <c r="AM22" i="47"/>
  <c r="AM23" i="47"/>
  <c r="AM24" i="47"/>
  <c r="AM25" i="47"/>
  <c r="AM26" i="47"/>
  <c r="AM27" i="47"/>
  <c r="AM28" i="47"/>
  <c r="AM29" i="47"/>
  <c r="AM30" i="47"/>
  <c r="AM31" i="47"/>
  <c r="AM32" i="47"/>
  <c r="AM33" i="47"/>
  <c r="AM34" i="47"/>
  <c r="AM35" i="47"/>
  <c r="AM36" i="47"/>
  <c r="AM37" i="47"/>
  <c r="AM3" i="47"/>
  <c r="AP2" i="47"/>
  <c r="AO2" i="47"/>
  <c r="AA3" i="47"/>
  <c r="AA4" i="47"/>
  <c r="AA5" i="47"/>
  <c r="AA6" i="47"/>
  <c r="AA7" i="47"/>
  <c r="AA8" i="47"/>
  <c r="AA9" i="47"/>
  <c r="AA10" i="47"/>
  <c r="AA11" i="47"/>
  <c r="AA12" i="47"/>
  <c r="AA13" i="47"/>
  <c r="AA14" i="47"/>
  <c r="AA15" i="47"/>
  <c r="AA16" i="47"/>
  <c r="AA17" i="47"/>
  <c r="AA18" i="47"/>
  <c r="AA19" i="47"/>
  <c r="AA20" i="47"/>
  <c r="AA21" i="47"/>
  <c r="AA22" i="47"/>
  <c r="AA23" i="47"/>
  <c r="AA24" i="47"/>
  <c r="AA25" i="47"/>
  <c r="AA26" i="47"/>
  <c r="AA27" i="47"/>
  <c r="AA28" i="47"/>
  <c r="AA29" i="47"/>
  <c r="AA30" i="47"/>
  <c r="AA31" i="47"/>
  <c r="AA32" i="47"/>
  <c r="AA33" i="47"/>
  <c r="AA34" i="47"/>
  <c r="AA35" i="47"/>
  <c r="AA36" i="47"/>
  <c r="AA37" i="47"/>
  <c r="AA2" i="47"/>
  <c r="C14" i="46"/>
  <c r="C13" i="46"/>
  <c r="C16" i="46" s="1"/>
  <c r="C12" i="46"/>
  <c r="D16" i="43"/>
  <c r="E16" i="43"/>
  <c r="F16" i="43"/>
  <c r="G16" i="43"/>
  <c r="C16" i="43"/>
  <c r="D7" i="43"/>
  <c r="E7" i="43"/>
  <c r="F7" i="43"/>
  <c r="G7" i="43"/>
  <c r="C7" i="43"/>
  <c r="Q69" i="45"/>
  <c r="I69" i="45"/>
  <c r="Q68" i="45"/>
  <c r="I68" i="45"/>
  <c r="Q67" i="45"/>
  <c r="I67" i="45"/>
  <c r="Q66" i="45"/>
  <c r="I66" i="45"/>
  <c r="Q65" i="45"/>
  <c r="I65" i="45"/>
  <c r="Q64" i="45"/>
  <c r="I64" i="45"/>
  <c r="Q63" i="45"/>
  <c r="I63" i="45"/>
  <c r="Q62" i="45"/>
  <c r="I62" i="45"/>
  <c r="Q61" i="45"/>
  <c r="I61" i="45"/>
  <c r="Q60" i="45"/>
  <c r="I60" i="45"/>
  <c r="Q59" i="45"/>
  <c r="I59" i="45"/>
  <c r="Q58" i="45"/>
  <c r="I58" i="45"/>
  <c r="Q57" i="45"/>
  <c r="I57" i="45"/>
  <c r="Q56" i="45"/>
  <c r="I56" i="45"/>
  <c r="Q55" i="45"/>
  <c r="I55" i="45"/>
  <c r="Q54" i="45"/>
  <c r="I54" i="45"/>
  <c r="Q53" i="45"/>
  <c r="I53" i="45"/>
  <c r="Q52" i="45"/>
  <c r="I52" i="45"/>
  <c r="Q51" i="45"/>
  <c r="I51" i="45"/>
  <c r="Q50" i="45"/>
  <c r="I50" i="45"/>
  <c r="Q49" i="45"/>
  <c r="I49" i="45"/>
  <c r="Q48" i="45"/>
  <c r="I48" i="45"/>
  <c r="Q47" i="45"/>
  <c r="I47" i="45"/>
  <c r="Q46" i="45"/>
  <c r="I46" i="45"/>
  <c r="Q45" i="45"/>
  <c r="I45" i="45"/>
  <c r="Q44" i="45"/>
  <c r="I44" i="45"/>
  <c r="Q43" i="45"/>
  <c r="I43" i="45"/>
  <c r="Q42" i="45"/>
  <c r="I42" i="45"/>
  <c r="Q41" i="45"/>
  <c r="I41" i="45"/>
  <c r="Q40" i="45"/>
  <c r="I40" i="45"/>
  <c r="Q39" i="45"/>
  <c r="I39" i="45"/>
  <c r="Q38" i="45"/>
  <c r="I38" i="45"/>
  <c r="Q37" i="45"/>
  <c r="I37" i="45"/>
  <c r="Q36" i="45"/>
  <c r="I36" i="45"/>
  <c r="Q35" i="45"/>
  <c r="I35" i="45"/>
  <c r="Q34" i="45"/>
  <c r="I34" i="45"/>
  <c r="Q33" i="45"/>
  <c r="I33" i="45"/>
  <c r="Q32" i="45"/>
  <c r="I32" i="45"/>
  <c r="Q31" i="45"/>
  <c r="I31" i="45"/>
  <c r="Q30" i="45"/>
  <c r="I30" i="45"/>
  <c r="Q29" i="45"/>
  <c r="I29" i="45"/>
  <c r="Q28" i="45"/>
  <c r="I28" i="45"/>
  <c r="Q27" i="45"/>
  <c r="I27" i="45"/>
  <c r="Q26" i="45"/>
  <c r="I26" i="45"/>
  <c r="Q25" i="45"/>
  <c r="I25" i="45"/>
  <c r="Q24" i="45"/>
  <c r="I24" i="45"/>
  <c r="Q23" i="45"/>
  <c r="I23" i="45"/>
  <c r="Q22" i="45"/>
  <c r="I22" i="45"/>
  <c r="Q21" i="45"/>
  <c r="I21" i="45"/>
  <c r="Q20" i="45"/>
  <c r="I20" i="45"/>
  <c r="Q19" i="45"/>
  <c r="I19" i="45"/>
  <c r="Q18" i="45"/>
  <c r="I18" i="45"/>
  <c r="Q17" i="45"/>
  <c r="I17" i="45"/>
  <c r="Q16" i="45"/>
  <c r="I16" i="45"/>
  <c r="Q15" i="45"/>
  <c r="I15" i="45"/>
  <c r="Q14" i="45"/>
  <c r="I14" i="45"/>
  <c r="Q13" i="45"/>
  <c r="I13" i="45"/>
  <c r="Q12" i="45"/>
  <c r="I12" i="45"/>
  <c r="Q11" i="45"/>
  <c r="I11" i="45"/>
  <c r="Q10" i="45"/>
  <c r="I10" i="45"/>
  <c r="Q5" i="45"/>
  <c r="I5" i="45"/>
  <c r="C37" i="49" l="1"/>
  <c r="B36" i="49"/>
  <c r="H36" i="49"/>
  <c r="I35" i="49"/>
  <c r="D35" i="49"/>
  <c r="E35" i="49" s="1"/>
  <c r="AE50" i="47"/>
  <c r="AC50" i="47" s="1"/>
  <c r="AF50" i="47" s="1"/>
  <c r="AE475" i="47"/>
  <c r="AE479" i="47"/>
  <c r="AE493" i="47"/>
  <c r="AE459" i="47"/>
  <c r="AE484" i="47"/>
  <c r="AE457" i="47"/>
  <c r="AE449" i="47"/>
  <c r="AE445" i="47"/>
  <c r="AE419" i="47"/>
  <c r="AE438" i="47"/>
  <c r="AE454" i="47"/>
  <c r="AE409" i="47"/>
  <c r="AE382" i="47"/>
  <c r="AE364" i="47"/>
  <c r="AE331" i="47"/>
  <c r="AE322" i="47"/>
  <c r="AE362" i="47"/>
  <c r="AE305" i="47"/>
  <c r="AE349" i="47"/>
  <c r="AE422" i="47"/>
  <c r="AE398" i="47"/>
  <c r="AE431" i="47"/>
  <c r="AE391" i="47"/>
  <c r="AE340" i="47"/>
  <c r="AE358" i="47"/>
  <c r="AE385" i="47"/>
  <c r="AE252" i="47"/>
  <c r="AE253" i="47"/>
  <c r="AE284" i="47"/>
  <c r="AE295" i="47"/>
  <c r="AE229" i="47"/>
  <c r="AE248" i="47"/>
  <c r="AE267" i="47"/>
  <c r="AE217" i="47"/>
  <c r="AE190" i="47"/>
  <c r="AE247" i="47"/>
  <c r="AE238" i="47"/>
  <c r="AE236" i="47"/>
  <c r="AE210" i="47"/>
  <c r="AE228" i="47"/>
  <c r="AE206" i="47"/>
  <c r="AE182" i="47"/>
  <c r="AE184" i="47"/>
  <c r="AE193" i="47"/>
  <c r="AE146" i="47"/>
  <c r="AE151" i="47"/>
  <c r="AE170" i="47"/>
  <c r="AE148" i="47"/>
  <c r="AE133" i="47"/>
  <c r="AE139" i="47"/>
  <c r="AE130" i="47"/>
  <c r="AE103" i="47"/>
  <c r="AE119" i="47"/>
  <c r="AE91" i="47"/>
  <c r="AE82" i="47"/>
  <c r="AE107" i="47"/>
  <c r="AE98" i="47"/>
  <c r="AE56" i="47"/>
  <c r="AE75" i="47"/>
  <c r="AE80" i="47"/>
  <c r="AE497" i="47"/>
  <c r="AE496" i="47"/>
  <c r="AE472" i="47"/>
  <c r="AE483" i="47"/>
  <c r="AE458" i="47"/>
  <c r="AE476" i="47"/>
  <c r="AE428" i="47"/>
  <c r="AE443" i="47"/>
  <c r="AE450" i="47"/>
  <c r="AE447" i="47"/>
  <c r="AE444" i="47"/>
  <c r="AE424" i="47"/>
  <c r="AE446" i="47"/>
  <c r="AE451" i="47"/>
  <c r="AE406" i="47"/>
  <c r="AE415" i="47"/>
  <c r="AE339" i="47"/>
  <c r="AE330" i="47"/>
  <c r="AE379" i="47"/>
  <c r="AE336" i="47"/>
  <c r="AE366" i="47"/>
  <c r="AE418" i="47"/>
  <c r="AE394" i="47"/>
  <c r="AE421" i="47"/>
  <c r="AE386" i="47"/>
  <c r="AE316" i="47"/>
  <c r="AE351" i="47"/>
  <c r="AE359" i="47"/>
  <c r="AE296" i="47"/>
  <c r="AE269" i="47"/>
  <c r="AE290" i="47"/>
  <c r="AE287" i="47"/>
  <c r="AE319" i="47"/>
  <c r="AE307" i="47"/>
  <c r="AE207" i="47"/>
  <c r="AE289" i="47"/>
  <c r="AE280" i="47"/>
  <c r="AE242" i="47"/>
  <c r="AE271" i="47"/>
  <c r="AE239" i="47"/>
  <c r="AE218" i="47"/>
  <c r="AE209" i="47"/>
  <c r="AE172" i="47"/>
  <c r="AE174" i="47"/>
  <c r="AE179" i="47"/>
  <c r="AE183" i="47"/>
  <c r="AE181" i="47"/>
  <c r="AE223" i="47"/>
  <c r="AE154" i="47"/>
  <c r="AE159" i="47"/>
  <c r="AE169" i="47"/>
  <c r="AE140" i="47"/>
  <c r="AE105" i="47"/>
  <c r="AE136" i="47"/>
  <c r="AE111" i="47"/>
  <c r="AE127" i="47"/>
  <c r="AE144" i="47"/>
  <c r="AE92" i="47"/>
  <c r="AE96" i="47"/>
  <c r="AE106" i="47"/>
  <c r="AE64" i="47"/>
  <c r="AE65" i="47"/>
  <c r="AE57" i="47"/>
  <c r="AE72" i="47"/>
  <c r="AE489" i="47"/>
  <c r="AE487" i="47"/>
  <c r="AE480" i="47"/>
  <c r="AE452" i="47"/>
  <c r="AE467" i="47"/>
  <c r="AE412" i="47"/>
  <c r="AE433" i="47"/>
  <c r="AE441" i="47"/>
  <c r="AE439" i="47"/>
  <c r="AE432" i="47"/>
  <c r="AE402" i="47"/>
  <c r="AE396" i="47"/>
  <c r="AE371" i="47"/>
  <c r="AE347" i="47"/>
  <c r="AE317" i="47"/>
  <c r="AE387" i="47"/>
  <c r="AE346" i="47"/>
  <c r="AE370" i="47"/>
  <c r="AE417" i="47"/>
  <c r="AE420" i="47"/>
  <c r="AE334" i="47"/>
  <c r="AE300" i="47"/>
  <c r="AE377" i="47"/>
  <c r="AE273" i="47"/>
  <c r="AE293" i="47"/>
  <c r="AE260" i="47"/>
  <c r="AE272" i="47"/>
  <c r="AE314" i="47"/>
  <c r="AE279" i="47"/>
  <c r="AE232" i="47"/>
  <c r="AE235" i="47"/>
  <c r="AE204" i="47"/>
  <c r="AE205" i="47"/>
  <c r="AE191" i="47"/>
  <c r="AE199" i="47"/>
  <c r="AE189" i="47"/>
  <c r="AE215" i="47"/>
  <c r="AE185" i="47"/>
  <c r="AE167" i="47"/>
  <c r="AE168" i="47"/>
  <c r="AE171" i="47"/>
  <c r="AE142" i="47"/>
  <c r="AE132" i="47"/>
  <c r="AE113" i="47"/>
  <c r="AE164" i="47"/>
  <c r="AE116" i="47"/>
  <c r="AE121" i="47"/>
  <c r="AE131" i="47"/>
  <c r="AE90" i="47"/>
  <c r="AE61" i="47"/>
  <c r="AE102" i="47"/>
  <c r="AE60" i="47"/>
  <c r="AE88" i="47"/>
  <c r="AE71" i="47"/>
  <c r="AE70" i="47"/>
  <c r="AE499" i="47"/>
  <c r="AE425" i="47"/>
  <c r="AE498" i="47"/>
  <c r="AE448" i="47"/>
  <c r="AE462" i="47"/>
  <c r="AE481" i="47"/>
  <c r="AE405" i="47"/>
  <c r="AE408" i="47"/>
  <c r="AE440" i="47"/>
  <c r="AE469" i="47"/>
  <c r="AE436" i="47"/>
  <c r="AE392" i="47"/>
  <c r="AE399" i="47"/>
  <c r="AE350" i="47"/>
  <c r="AE403" i="47"/>
  <c r="AE306" i="47"/>
  <c r="AE325" i="47"/>
  <c r="AE363" i="47"/>
  <c r="AE356" i="47"/>
  <c r="AE381" i="47"/>
  <c r="AE368" i="47"/>
  <c r="AE416" i="47"/>
  <c r="AE383" i="47"/>
  <c r="AE353" i="47"/>
  <c r="AE342" i="47"/>
  <c r="AE294" i="47"/>
  <c r="AE231" i="47"/>
  <c r="AE258" i="47"/>
  <c r="AE277" i="47"/>
  <c r="AE343" i="47"/>
  <c r="AE311" i="47"/>
  <c r="AE326" i="47"/>
  <c r="AE288" i="47"/>
  <c r="AE310" i="47"/>
  <c r="AE225" i="47"/>
  <c r="AE265" i="47"/>
  <c r="AE278" i="47"/>
  <c r="AE233" i="47"/>
  <c r="AE194" i="47"/>
  <c r="AE234" i="47"/>
  <c r="AE246" i="47"/>
  <c r="AE202" i="47"/>
  <c r="AE211" i="47"/>
  <c r="AE263" i="47"/>
  <c r="AE224" i="47"/>
  <c r="AE197" i="47"/>
  <c r="AE180" i="47"/>
  <c r="AE153" i="47"/>
  <c r="AE149" i="47"/>
  <c r="AE135" i="47"/>
  <c r="AE157" i="47"/>
  <c r="AE129" i="47"/>
  <c r="AE117" i="47"/>
  <c r="AE100" i="47"/>
  <c r="AE79" i="47"/>
  <c r="AE123" i="47"/>
  <c r="AE93" i="47"/>
  <c r="AE94" i="47"/>
  <c r="AE68" i="47"/>
  <c r="AE86" i="47"/>
  <c r="AE63" i="47"/>
  <c r="AE62" i="47"/>
  <c r="AE495" i="47"/>
  <c r="AE490" i="47"/>
  <c r="AE461" i="47"/>
  <c r="AE473" i="47"/>
  <c r="AE470" i="47"/>
  <c r="AE429" i="47"/>
  <c r="AE413" i="47"/>
  <c r="AE485" i="47"/>
  <c r="AE360" i="47"/>
  <c r="AE390" i="47"/>
  <c r="AE411" i="47"/>
  <c r="AE397" i="47"/>
  <c r="AE308" i="47"/>
  <c r="AE333" i="47"/>
  <c r="AE338" i="47"/>
  <c r="AE372" i="47"/>
  <c r="AE389" i="47"/>
  <c r="AE352" i="47"/>
  <c r="AE324" i="47"/>
  <c r="AE309" i="47"/>
  <c r="AE361" i="47"/>
  <c r="AE270" i="47"/>
  <c r="AE243" i="47"/>
  <c r="AE276" i="47"/>
  <c r="AE285" i="47"/>
  <c r="AE337" i="47"/>
  <c r="AE318" i="47"/>
  <c r="AE245" i="47"/>
  <c r="AE259" i="47"/>
  <c r="AE283" i="47"/>
  <c r="AE186" i="47"/>
  <c r="AE208" i="47"/>
  <c r="AE240" i="47"/>
  <c r="AE219" i="47"/>
  <c r="AE255" i="47"/>
  <c r="AE216" i="47"/>
  <c r="AE166" i="47"/>
  <c r="AE187" i="47"/>
  <c r="AE156" i="47"/>
  <c r="AE147" i="47"/>
  <c r="AE145" i="47"/>
  <c r="AE155" i="47"/>
  <c r="AE122" i="47"/>
  <c r="AE53" i="47"/>
  <c r="AE120" i="47"/>
  <c r="AE77" i="47"/>
  <c r="AE110" i="47"/>
  <c r="AE101" i="47"/>
  <c r="AE87" i="47"/>
  <c r="AE76" i="47"/>
  <c r="AE55" i="47"/>
  <c r="AE54" i="47"/>
  <c r="AE501" i="47"/>
  <c r="AE482" i="47"/>
  <c r="AE437" i="47"/>
  <c r="AE494" i="47"/>
  <c r="AE464" i="47"/>
  <c r="AE465" i="47"/>
  <c r="AE427" i="47"/>
  <c r="AE477" i="47"/>
  <c r="AE393" i="47"/>
  <c r="AE384" i="47"/>
  <c r="AE303" i="47"/>
  <c r="AE341" i="47"/>
  <c r="AE355" i="47"/>
  <c r="AE373" i="47"/>
  <c r="AE442" i="47"/>
  <c r="AE407" i="47"/>
  <c r="AE365" i="47"/>
  <c r="AE374" i="47"/>
  <c r="AE376" i="47"/>
  <c r="AE282" i="47"/>
  <c r="AE261" i="47"/>
  <c r="AE250" i="47"/>
  <c r="AE292" i="47"/>
  <c r="AE298" i="47"/>
  <c r="AE335" i="47"/>
  <c r="AE329" i="47"/>
  <c r="AE315" i="47"/>
  <c r="AE286" i="47"/>
  <c r="AE291" i="47"/>
  <c r="AE264" i="47"/>
  <c r="AE221" i="47"/>
  <c r="AE257" i="47"/>
  <c r="AE226" i="47"/>
  <c r="AE214" i="47"/>
  <c r="AE230" i="47"/>
  <c r="AE198" i="47"/>
  <c r="AE227" i="47"/>
  <c r="AE192" i="47"/>
  <c r="AE203" i="47"/>
  <c r="AE201" i="47"/>
  <c r="AE158" i="47"/>
  <c r="AE177" i="47"/>
  <c r="AE143" i="47"/>
  <c r="AE137" i="47"/>
  <c r="AE89" i="47"/>
  <c r="AE152" i="47"/>
  <c r="AE128" i="47"/>
  <c r="AE99" i="47"/>
  <c r="AE125" i="47"/>
  <c r="AE83" i="47"/>
  <c r="AE109" i="47"/>
  <c r="AE104" i="47"/>
  <c r="AE58" i="47"/>
  <c r="AE78" i="47"/>
  <c r="AE488" i="47"/>
  <c r="AE500" i="47"/>
  <c r="AE466" i="47"/>
  <c r="AE486" i="47"/>
  <c r="AE463" i="47"/>
  <c r="AE456" i="47"/>
  <c r="AE423" i="47"/>
  <c r="AE435" i="47"/>
  <c r="AE468" i="47"/>
  <c r="AE388" i="47"/>
  <c r="AE375" i="47"/>
  <c r="AE312" i="47"/>
  <c r="AE328" i="47"/>
  <c r="AE354" i="47"/>
  <c r="AE378" i="47"/>
  <c r="AE434" i="47"/>
  <c r="AE404" i="47"/>
  <c r="AE320" i="47"/>
  <c r="AE369" i="47"/>
  <c r="AE345" i="47"/>
  <c r="AE367" i="47"/>
  <c r="AE251" i="47"/>
  <c r="AE302" i="47"/>
  <c r="AE268" i="47"/>
  <c r="AE237" i="47"/>
  <c r="AE244" i="47"/>
  <c r="AE321" i="47"/>
  <c r="AE281" i="47"/>
  <c r="AE262" i="47"/>
  <c r="AE175" i="47"/>
  <c r="AE256" i="47"/>
  <c r="AE178" i="47"/>
  <c r="AE212" i="47"/>
  <c r="AE222" i="47"/>
  <c r="AE195" i="47"/>
  <c r="AE200" i="47"/>
  <c r="AE196" i="47"/>
  <c r="AE161" i="47"/>
  <c r="AE165" i="47"/>
  <c r="AE163" i="47"/>
  <c r="AE124" i="47"/>
  <c r="AE160" i="47"/>
  <c r="AE141" i="47"/>
  <c r="AE108" i="47"/>
  <c r="AE118" i="47"/>
  <c r="AE112" i="47"/>
  <c r="AE73" i="47"/>
  <c r="AE69" i="47"/>
  <c r="AE95" i="47"/>
  <c r="AE81" i="47"/>
  <c r="AE59" i="47"/>
  <c r="AE66" i="47"/>
  <c r="AE471" i="47"/>
  <c r="AE491" i="47"/>
  <c r="AE474" i="47"/>
  <c r="AE492" i="47"/>
  <c r="AE395" i="47"/>
  <c r="AE478" i="47"/>
  <c r="AE453" i="47"/>
  <c r="AE455" i="47"/>
  <c r="AE430" i="47"/>
  <c r="AE460" i="47"/>
  <c r="AE414" i="47"/>
  <c r="AE410" i="47"/>
  <c r="AE380" i="47"/>
  <c r="AE323" i="47"/>
  <c r="AE313" i="47"/>
  <c r="AE348" i="47"/>
  <c r="AE357" i="47"/>
  <c r="AE344" i="47"/>
  <c r="AE426" i="47"/>
  <c r="AE400" i="47"/>
  <c r="AE401" i="47"/>
  <c r="AE332" i="47"/>
  <c r="AE301" i="47"/>
  <c r="AE274" i="47"/>
  <c r="AE241" i="47"/>
  <c r="AE266" i="47"/>
  <c r="AE327" i="47"/>
  <c r="AE299" i="47"/>
  <c r="AE304" i="47"/>
  <c r="AE249" i="47"/>
  <c r="AE297" i="47"/>
  <c r="AE254" i="47"/>
  <c r="AE213" i="47"/>
  <c r="AE275" i="47"/>
  <c r="AE220" i="47"/>
  <c r="AE162" i="47"/>
  <c r="AE176" i="47"/>
  <c r="AE188" i="47"/>
  <c r="AE150" i="47"/>
  <c r="AE173" i="47"/>
  <c r="AE134" i="47"/>
  <c r="AE138" i="47"/>
  <c r="AE126" i="47"/>
  <c r="AE114" i="47"/>
  <c r="AE115" i="47"/>
  <c r="AE97" i="47"/>
  <c r="AE84" i="47"/>
  <c r="AE85" i="47"/>
  <c r="AE67" i="47"/>
  <c r="AE74" i="47"/>
  <c r="AE52" i="47"/>
  <c r="AE16" i="47"/>
  <c r="AG16" i="47" s="1"/>
  <c r="AH16" i="47" s="1"/>
  <c r="AE51" i="47"/>
  <c r="AC51" i="47" s="1"/>
  <c r="AF51" i="47" s="1"/>
  <c r="AE29" i="47"/>
  <c r="AC29" i="47" s="1"/>
  <c r="AF29" i="47" s="1"/>
  <c r="AE35" i="47"/>
  <c r="AC35" i="47" s="1"/>
  <c r="AF35" i="47" s="1"/>
  <c r="AE19" i="47"/>
  <c r="AB19" i="47" s="1"/>
  <c r="AE11" i="47"/>
  <c r="AB11" i="47" s="1"/>
  <c r="AE3" i="47"/>
  <c r="AB3" i="47" s="1"/>
  <c r="AE48" i="47"/>
  <c r="AG48" i="47" s="1"/>
  <c r="AH48" i="47" s="1"/>
  <c r="AE44" i="47"/>
  <c r="AG44" i="47" s="1"/>
  <c r="AH44" i="47" s="1"/>
  <c r="AE40" i="47"/>
  <c r="AG40" i="47" s="1"/>
  <c r="AH40" i="47" s="1"/>
  <c r="Q13" i="49"/>
  <c r="AB44" i="47"/>
  <c r="AD44" i="47"/>
  <c r="AE15" i="47"/>
  <c r="AG15" i="47" s="1"/>
  <c r="AH15" i="47" s="1"/>
  <c r="AE8" i="47"/>
  <c r="AG8" i="47" s="1"/>
  <c r="AH8" i="47" s="1"/>
  <c r="AQ2" i="47"/>
  <c r="AT2" i="47" s="1"/>
  <c r="AE49" i="47"/>
  <c r="AB49" i="47" s="1"/>
  <c r="AE45" i="47"/>
  <c r="AB45" i="47" s="1"/>
  <c r="AC44" i="47"/>
  <c r="AF44" i="47" s="1"/>
  <c r="AE41" i="47"/>
  <c r="AB41" i="47" s="1"/>
  <c r="AE46" i="47"/>
  <c r="AB46" i="47" s="1"/>
  <c r="AE42" i="47"/>
  <c r="AE38" i="47"/>
  <c r="AD38" i="47" s="1"/>
  <c r="AE47" i="47"/>
  <c r="AE43" i="47"/>
  <c r="AE39" i="47"/>
  <c r="AE27" i="47"/>
  <c r="AG27" i="47" s="1"/>
  <c r="AH27" i="47" s="1"/>
  <c r="AE9" i="47"/>
  <c r="AG9" i="47" s="1"/>
  <c r="AH9" i="47" s="1"/>
  <c r="AB35" i="47"/>
  <c r="AE24" i="47"/>
  <c r="AB24" i="47" s="1"/>
  <c r="AE13" i="47"/>
  <c r="AB13" i="47" s="1"/>
  <c r="AE10" i="47"/>
  <c r="AB10" i="47" s="1"/>
  <c r="AE5" i="47"/>
  <c r="AB5" i="47" s="1"/>
  <c r="AE36" i="47"/>
  <c r="AG36" i="47" s="1"/>
  <c r="AH36" i="47" s="1"/>
  <c r="AE33" i="47"/>
  <c r="AG33" i="47" s="1"/>
  <c r="AH33" i="47" s="1"/>
  <c r="AE22" i="47"/>
  <c r="AG22" i="47" s="1"/>
  <c r="AH22" i="47" s="1"/>
  <c r="AE20" i="47"/>
  <c r="AC20" i="47" s="1"/>
  <c r="AF20" i="47" s="1"/>
  <c r="AE7" i="47"/>
  <c r="AG7" i="47" s="1"/>
  <c r="AH7" i="47" s="1"/>
  <c r="AE32" i="47"/>
  <c r="AB32" i="47" s="1"/>
  <c r="AE30" i="47"/>
  <c r="AG30" i="47" s="1"/>
  <c r="AH30" i="47" s="1"/>
  <c r="AE31" i="47"/>
  <c r="AG31" i="47" s="1"/>
  <c r="AH31" i="47" s="1"/>
  <c r="AE28" i="47"/>
  <c r="AG28" i="47" s="1"/>
  <c r="AH28" i="47" s="1"/>
  <c r="AE25" i="47"/>
  <c r="AG25" i="47" s="1"/>
  <c r="AH25" i="47" s="1"/>
  <c r="AE12" i="47"/>
  <c r="AC12" i="47" s="1"/>
  <c r="AF12" i="47" s="1"/>
  <c r="AE18" i="47"/>
  <c r="AD18" i="47" s="1"/>
  <c r="AE34" i="47"/>
  <c r="AE23" i="47"/>
  <c r="AC23" i="47" s="1"/>
  <c r="AF23" i="47" s="1"/>
  <c r="AE14" i="47"/>
  <c r="AC14" i="47" s="1"/>
  <c r="AF14" i="47" s="1"/>
  <c r="AE4" i="47"/>
  <c r="AC4" i="47" s="1"/>
  <c r="AF4" i="47" s="1"/>
  <c r="AE37" i="47"/>
  <c r="AD37" i="47" s="1"/>
  <c r="AE26" i="47"/>
  <c r="AD26" i="47" s="1"/>
  <c r="AE17" i="47"/>
  <c r="AE6" i="47"/>
  <c r="AD6" i="47" s="1"/>
  <c r="AE21" i="47"/>
  <c r="AD16" i="47"/>
  <c r="AC16" i="47"/>
  <c r="AF16" i="47" s="1"/>
  <c r="AB16" i="47"/>
  <c r="AD3" i="47"/>
  <c r="AE2" i="47"/>
  <c r="AB2" i="47" s="1"/>
  <c r="F12" i="30"/>
  <c r="B12" i="30"/>
  <c r="Q2" i="26"/>
  <c r="Q3" i="26"/>
  <c r="Q4" i="26"/>
  <c r="Q5" i="26"/>
  <c r="Q6" i="26"/>
  <c r="Q7" i="26"/>
  <c r="Q8" i="26"/>
  <c r="Q9" i="26"/>
  <c r="Q10" i="26"/>
  <c r="Q11" i="26"/>
  <c r="Q12" i="26"/>
  <c r="Q13" i="26"/>
  <c r="Q14" i="26"/>
  <c r="Q15" i="26"/>
  <c r="Q16" i="26"/>
  <c r="Q17" i="26"/>
  <c r="Q18" i="26"/>
  <c r="Q19" i="26"/>
  <c r="Q20" i="26"/>
  <c r="Q21" i="26"/>
  <c r="Q22" i="26"/>
  <c r="Q23" i="26"/>
  <c r="Q24" i="26"/>
  <c r="Q25" i="26"/>
  <c r="Q26" i="26"/>
  <c r="Q27" i="26"/>
  <c r="Q28" i="26"/>
  <c r="Q29" i="26"/>
  <c r="Q30" i="26"/>
  <c r="Q31" i="26"/>
  <c r="Q32" i="26"/>
  <c r="Q33" i="26"/>
  <c r="Q34" i="26"/>
  <c r="Q38" i="26"/>
  <c r="Q39" i="26"/>
  <c r="Q40" i="26"/>
  <c r="Q41" i="26"/>
  <c r="Q42" i="26"/>
  <c r="Q43" i="26"/>
  <c r="Q44" i="26"/>
  <c r="Q45" i="26"/>
  <c r="Q46" i="26"/>
  <c r="Q47" i="26"/>
  <c r="Q48" i="26"/>
  <c r="Q49" i="26"/>
  <c r="Q50" i="26"/>
  <c r="Q51" i="26"/>
  <c r="Q52" i="26"/>
  <c r="Q53" i="26"/>
  <c r="Q54" i="26"/>
  <c r="Q55" i="26"/>
  <c r="Q56" i="26"/>
  <c r="Q57" i="26"/>
  <c r="Q58" i="26"/>
  <c r="Q59" i="26"/>
  <c r="Q60" i="26"/>
  <c r="Q61" i="26"/>
  <c r="Q62" i="26"/>
  <c r="Q63" i="26"/>
  <c r="Q64" i="26"/>
  <c r="Q65" i="26"/>
  <c r="Q66" i="26"/>
  <c r="Q67" i="26"/>
  <c r="Q68" i="26"/>
  <c r="Q69" i="26"/>
  <c r="Q70" i="26"/>
  <c r="S37" i="24"/>
  <c r="S38" i="24" s="1"/>
  <c r="S39" i="24" s="1"/>
  <c r="S40" i="24" s="1"/>
  <c r="S41" i="24" s="1"/>
  <c r="S42" i="24" s="1"/>
  <c r="S43" i="24" s="1"/>
  <c r="S44" i="24" s="1"/>
  <c r="S45" i="24" s="1"/>
  <c r="S46" i="24" s="1"/>
  <c r="S47" i="24" s="1"/>
  <c r="S48" i="24" s="1"/>
  <c r="S49" i="24" s="1"/>
  <c r="S50" i="24" s="1"/>
  <c r="S51" i="24" s="1"/>
  <c r="S52" i="24" s="1"/>
  <c r="S53" i="24" s="1"/>
  <c r="S54" i="24" s="1"/>
  <c r="S55" i="24" s="1"/>
  <c r="S56" i="24" s="1"/>
  <c r="S57" i="24" s="1"/>
  <c r="S58" i="24" s="1"/>
  <c r="S59" i="24" s="1"/>
  <c r="S60" i="24" s="1"/>
  <c r="S61" i="24" s="1"/>
  <c r="S62" i="24" s="1"/>
  <c r="S63" i="24" s="1"/>
  <c r="S64" i="24" s="1"/>
  <c r="S65" i="24" s="1"/>
  <c r="S66" i="24" s="1"/>
  <c r="S67" i="24" s="1"/>
  <c r="S68" i="24" s="1"/>
  <c r="S69" i="24" s="1"/>
  <c r="S70" i="24" s="1"/>
  <c r="S71" i="24" s="1"/>
  <c r="S72" i="24" s="1"/>
  <c r="S73" i="24" s="1"/>
  <c r="S74" i="24" s="1"/>
  <c r="S75" i="24" s="1"/>
  <c r="S76" i="24" s="1"/>
  <c r="S77" i="24" s="1"/>
  <c r="S78" i="24" s="1"/>
  <c r="S79" i="24" s="1"/>
  <c r="S80" i="24" s="1"/>
  <c r="S81" i="24" s="1"/>
  <c r="S82" i="24" s="1"/>
  <c r="S83" i="24" s="1"/>
  <c r="S84" i="24" s="1"/>
  <c r="S85" i="24" s="1"/>
  <c r="S86" i="24" s="1"/>
  <c r="S87" i="24" s="1"/>
  <c r="S88" i="24" s="1"/>
  <c r="S89" i="24" s="1"/>
  <c r="S90" i="24" s="1"/>
  <c r="S91" i="24" s="1"/>
  <c r="S92" i="24" s="1"/>
  <c r="S93" i="24" s="1"/>
  <c r="S94" i="24" s="1"/>
  <c r="S95" i="24" s="1"/>
  <c r="S96" i="24" s="1"/>
  <c r="S97" i="24" s="1"/>
  <c r="S98" i="24" s="1"/>
  <c r="S99" i="24" s="1"/>
  <c r="S100" i="24" s="1"/>
  <c r="S101" i="24" s="1"/>
  <c r="R2" i="24"/>
  <c r="Q2" i="24" s="1"/>
  <c r="Q3" i="24" s="1"/>
  <c r="Q4" i="24" s="1"/>
  <c r="Q5" i="24" s="1"/>
  <c r="Q6" i="24" s="1"/>
  <c r="Q7" i="24" s="1"/>
  <c r="Q8" i="24" s="1"/>
  <c r="Q9" i="24" s="1"/>
  <c r="Q10" i="24" s="1"/>
  <c r="Q11" i="24" s="1"/>
  <c r="Q12" i="24" s="1"/>
  <c r="Q13" i="24" s="1"/>
  <c r="Q14" i="24" s="1"/>
  <c r="Q15" i="24" s="1"/>
  <c r="Q16" i="24" s="1"/>
  <c r="Q17" i="24" s="1"/>
  <c r="Q18" i="24" s="1"/>
  <c r="Q19" i="24" s="1"/>
  <c r="Q20" i="24" s="1"/>
  <c r="Q21" i="24" s="1"/>
  <c r="Q22" i="24" s="1"/>
  <c r="Q23" i="24" s="1"/>
  <c r="Q24" i="24" s="1"/>
  <c r="Q25" i="24" s="1"/>
  <c r="Q26" i="24" s="1"/>
  <c r="Q27" i="24" s="1"/>
  <c r="Q28" i="24" s="1"/>
  <c r="Q29" i="24" s="1"/>
  <c r="Q30" i="24" s="1"/>
  <c r="Q31" i="24" s="1"/>
  <c r="Q32" i="24" s="1"/>
  <c r="Q33" i="24" s="1"/>
  <c r="Q34" i="24" s="1"/>
  <c r="V3" i="22"/>
  <c r="V4" i="22" s="1"/>
  <c r="V5" i="22" s="1"/>
  <c r="V6" i="22" s="1"/>
  <c r="V7" i="22" s="1"/>
  <c r="V8" i="22" s="1"/>
  <c r="V9" i="22" s="1"/>
  <c r="V10" i="22" s="1"/>
  <c r="V11" i="22" s="1"/>
  <c r="V12" i="22" s="1"/>
  <c r="V13" i="22" s="1"/>
  <c r="V14" i="22" s="1"/>
  <c r="V15" i="22" s="1"/>
  <c r="V16" i="22" s="1"/>
  <c r="V17" i="22" s="1"/>
  <c r="V18" i="22" s="1"/>
  <c r="V19" i="22" s="1"/>
  <c r="V20" i="22" s="1"/>
  <c r="V21" i="22" s="1"/>
  <c r="V22" i="22" s="1"/>
  <c r="V23" i="22" s="1"/>
  <c r="V24" i="22" s="1"/>
  <c r="V25" i="22" s="1"/>
  <c r="V26" i="22" s="1"/>
  <c r="V27" i="22" s="1"/>
  <c r="V28" i="22" s="1"/>
  <c r="V29" i="22" s="1"/>
  <c r="V30" i="22" s="1"/>
  <c r="V31" i="22" s="1"/>
  <c r="V32" i="22" s="1"/>
  <c r="V33" i="22" s="1"/>
  <c r="V34" i="22" s="1"/>
  <c r="V35" i="22" s="1"/>
  <c r="V36" i="22" s="1"/>
  <c r="V37" i="22" s="1"/>
  <c r="V38" i="22" s="1"/>
  <c r="V39" i="22" s="1"/>
  <c r="V40" i="22" s="1"/>
  <c r="V41" i="22" s="1"/>
  <c r="V42" i="22" s="1"/>
  <c r="V43" i="22" s="1"/>
  <c r="V44" i="22" s="1"/>
  <c r="V45" i="22" s="1"/>
  <c r="V46" i="22" s="1"/>
  <c r="V47" i="22" s="1"/>
  <c r="V48" i="22" s="1"/>
  <c r="V49" i="22" s="1"/>
  <c r="V50" i="22" s="1"/>
  <c r="V51" i="22" s="1"/>
  <c r="V52" i="22" s="1"/>
  <c r="V53" i="22" s="1"/>
  <c r="V54" i="22" s="1"/>
  <c r="V55" i="22" s="1"/>
  <c r="V56" i="22" s="1"/>
  <c r="V57" i="22" s="1"/>
  <c r="V58" i="22" s="1"/>
  <c r="V59" i="22" s="1"/>
  <c r="V60" i="22" s="1"/>
  <c r="V61" i="22" s="1"/>
  <c r="V62" i="22" s="1"/>
  <c r="V63" i="22" s="1"/>
  <c r="V64" i="22" s="1"/>
  <c r="V65" i="22" s="1"/>
  <c r="V66" i="22" s="1"/>
  <c r="V67" i="22" s="1"/>
  <c r="V68" i="22" s="1"/>
  <c r="V69" i="22" s="1"/>
  <c r="V70" i="22" s="1"/>
  <c r="V71" i="22" s="1"/>
  <c r="V72" i="22" s="1"/>
  <c r="V73" i="22" s="1"/>
  <c r="V74" i="22" s="1"/>
  <c r="V75" i="22" s="1"/>
  <c r="V76" i="22" s="1"/>
  <c r="V77" i="22" s="1"/>
  <c r="V78" i="22" s="1"/>
  <c r="V79" i="22" s="1"/>
  <c r="V80" i="22" s="1"/>
  <c r="V81" i="22" s="1"/>
  <c r="V82" i="22" s="1"/>
  <c r="V83" i="22" s="1"/>
  <c r="V84" i="22" s="1"/>
  <c r="V85" i="22" s="1"/>
  <c r="V86" i="22" s="1"/>
  <c r="V87" i="22" s="1"/>
  <c r="V88" i="22" s="1"/>
  <c r="V89" i="22" s="1"/>
  <c r="V90" i="22" s="1"/>
  <c r="V91" i="22" s="1"/>
  <c r="V92" i="22" s="1"/>
  <c r="V93" i="22" s="1"/>
  <c r="V94" i="22" s="1"/>
  <c r="V95" i="22" s="1"/>
  <c r="V96" i="22" s="1"/>
  <c r="V97" i="22" s="1"/>
  <c r="V98" i="22" s="1"/>
  <c r="V99" i="22" s="1"/>
  <c r="V100" i="22" s="1"/>
  <c r="V101" i="22" s="1"/>
  <c r="C14" i="17"/>
  <c r="E12" i="17" s="1"/>
  <c r="D4" i="17"/>
  <c r="D5" i="17" s="1"/>
  <c r="M6" i="7"/>
  <c r="L6" i="7"/>
  <c r="K6" i="7"/>
  <c r="J6" i="7"/>
  <c r="M5" i="7"/>
  <c r="L5" i="7"/>
  <c r="K5" i="7"/>
  <c r="J5" i="7"/>
  <c r="M4" i="7"/>
  <c r="L4" i="7"/>
  <c r="K4" i="7"/>
  <c r="J4" i="7"/>
  <c r="M3" i="7"/>
  <c r="L3" i="7"/>
  <c r="K3" i="7"/>
  <c r="J3" i="7"/>
  <c r="M2" i="7"/>
  <c r="L2" i="7"/>
  <c r="K2" i="7"/>
  <c r="J2" i="7"/>
  <c r="E7" i="17"/>
  <c r="E10" i="17"/>
  <c r="E5" i="17"/>
  <c r="E11" i="17"/>
  <c r="E9" i="17"/>
  <c r="E13" i="17"/>
  <c r="E8" i="17"/>
  <c r="AD9" i="47" l="1"/>
  <c r="AC5" i="47"/>
  <c r="AF5" i="47" s="1"/>
  <c r="S3" i="22"/>
  <c r="AD15" i="47"/>
  <c r="AC15" i="47"/>
  <c r="AF15" i="47" s="1"/>
  <c r="AG19" i="47"/>
  <c r="AH19" i="47" s="1"/>
  <c r="AD12" i="47"/>
  <c r="AD19" i="47"/>
  <c r="AB15" i="47"/>
  <c r="AC10" i="47"/>
  <c r="AF10" i="47" s="1"/>
  <c r="AD50" i="47"/>
  <c r="AG50" i="47"/>
  <c r="AB50" i="47"/>
  <c r="Q37" i="24"/>
  <c r="Q38" i="24" s="1"/>
  <c r="Q39" i="24" s="1"/>
  <c r="Q40" i="24" s="1"/>
  <c r="Q41" i="24" s="1"/>
  <c r="Q42" i="24" s="1"/>
  <c r="Q43" i="24" s="1"/>
  <c r="Q44" i="24" s="1"/>
  <c r="Q45" i="24" s="1"/>
  <c r="Q46" i="24" s="1"/>
  <c r="Q47" i="24" s="1"/>
  <c r="Q48" i="24" s="1"/>
  <c r="Q49" i="24" s="1"/>
  <c r="Q50" i="24" s="1"/>
  <c r="Q51" i="24" s="1"/>
  <c r="Q52" i="24" s="1"/>
  <c r="Q53" i="24" s="1"/>
  <c r="Q54" i="24" s="1"/>
  <c r="Q55" i="24" s="1"/>
  <c r="Q56" i="24" s="1"/>
  <c r="Q57" i="24" s="1"/>
  <c r="Q58" i="24" s="1"/>
  <c r="Q59" i="24" s="1"/>
  <c r="Q60" i="24" s="1"/>
  <c r="Q61" i="24" s="1"/>
  <c r="Q62" i="24" s="1"/>
  <c r="Q63" i="24" s="1"/>
  <c r="Q64" i="24" s="1"/>
  <c r="Q65" i="24" s="1"/>
  <c r="Q66" i="24" s="1"/>
  <c r="Q67" i="24" s="1"/>
  <c r="Q68" i="24" s="1"/>
  <c r="Q69" i="24" s="1"/>
  <c r="Q70" i="24" s="1"/>
  <c r="Q71" i="24" s="1"/>
  <c r="Q72" i="24" s="1"/>
  <c r="Q73" i="24" s="1"/>
  <c r="Q74" i="24" s="1"/>
  <c r="Q75" i="24" s="1"/>
  <c r="Q76" i="24" s="1"/>
  <c r="Q77" i="24" s="1"/>
  <c r="Q78" i="24" s="1"/>
  <c r="Q79" i="24" s="1"/>
  <c r="Q80" i="24" s="1"/>
  <c r="Q81" i="24" s="1"/>
  <c r="Q82" i="24" s="1"/>
  <c r="Q83" i="24" s="1"/>
  <c r="Q84" i="24" s="1"/>
  <c r="Q85" i="24" s="1"/>
  <c r="Q86" i="24" s="1"/>
  <c r="Q87" i="24" s="1"/>
  <c r="Q88" i="24" s="1"/>
  <c r="Q89" i="24" s="1"/>
  <c r="Q90" i="24" s="1"/>
  <c r="Q91" i="24" s="1"/>
  <c r="Q92" i="24" s="1"/>
  <c r="Q93" i="24" s="1"/>
  <c r="Q94" i="24" s="1"/>
  <c r="Q95" i="24" s="1"/>
  <c r="Q96" i="24" s="1"/>
  <c r="Q97" i="24" s="1"/>
  <c r="Q98" i="24" s="1"/>
  <c r="Q99" i="24" s="1"/>
  <c r="Q100" i="24" s="1"/>
  <c r="Q101" i="24" s="1"/>
  <c r="S2" i="24"/>
  <c r="S3" i="24" s="1"/>
  <c r="S4" i="24" s="1"/>
  <c r="S5" i="24" s="1"/>
  <c r="S6" i="24" s="1"/>
  <c r="S7" i="24" s="1"/>
  <c r="S8" i="24" s="1"/>
  <c r="S9" i="24" s="1"/>
  <c r="S10" i="24" s="1"/>
  <c r="S11" i="24" s="1"/>
  <c r="S12" i="24" s="1"/>
  <c r="S13" i="24" s="1"/>
  <c r="S14" i="24" s="1"/>
  <c r="S15" i="24" s="1"/>
  <c r="S16" i="24" s="1"/>
  <c r="S17" i="24" s="1"/>
  <c r="S18" i="24" s="1"/>
  <c r="S19" i="24" s="1"/>
  <c r="S20" i="24" s="1"/>
  <c r="S21" i="24" s="1"/>
  <c r="S22" i="24" s="1"/>
  <c r="S23" i="24" s="1"/>
  <c r="S24" i="24" s="1"/>
  <c r="S25" i="24" s="1"/>
  <c r="S26" i="24" s="1"/>
  <c r="S27" i="24" s="1"/>
  <c r="S28" i="24" s="1"/>
  <c r="S29" i="24" s="1"/>
  <c r="S30" i="24" s="1"/>
  <c r="S31" i="24" s="1"/>
  <c r="S32" i="24" s="1"/>
  <c r="S33" i="24" s="1"/>
  <c r="S34" i="24" s="1"/>
  <c r="R3" i="24"/>
  <c r="R4" i="24" s="1"/>
  <c r="R5" i="24" s="1"/>
  <c r="R6" i="24" s="1"/>
  <c r="R7" i="24" s="1"/>
  <c r="R8" i="24" s="1"/>
  <c r="R9" i="24" s="1"/>
  <c r="R10" i="24" s="1"/>
  <c r="R11" i="24" s="1"/>
  <c r="R12" i="24" s="1"/>
  <c r="R13" i="24" s="1"/>
  <c r="R14" i="24" s="1"/>
  <c r="R15" i="24" s="1"/>
  <c r="R16" i="24" s="1"/>
  <c r="R17" i="24" s="1"/>
  <c r="R18" i="24" s="1"/>
  <c r="R19" i="24" s="1"/>
  <c r="R20" i="24" s="1"/>
  <c r="R21" i="24" s="1"/>
  <c r="R22" i="24" s="1"/>
  <c r="R23" i="24" s="1"/>
  <c r="R24" i="24" s="1"/>
  <c r="R25" i="24" s="1"/>
  <c r="R26" i="24" s="1"/>
  <c r="R27" i="24" s="1"/>
  <c r="R28" i="24" s="1"/>
  <c r="R29" i="24" s="1"/>
  <c r="R30" i="24" s="1"/>
  <c r="R31" i="24" s="1"/>
  <c r="R32" i="24" s="1"/>
  <c r="R33" i="24" s="1"/>
  <c r="R34" i="24" s="1"/>
  <c r="R37" i="24"/>
  <c r="R38" i="24" s="1"/>
  <c r="R39" i="24" s="1"/>
  <c r="R40" i="24" s="1"/>
  <c r="R41" i="24" s="1"/>
  <c r="R42" i="24" s="1"/>
  <c r="R43" i="24" s="1"/>
  <c r="R44" i="24" s="1"/>
  <c r="R45" i="24" s="1"/>
  <c r="R46" i="24" s="1"/>
  <c r="R47" i="24" s="1"/>
  <c r="R48" i="24" s="1"/>
  <c r="R49" i="24" s="1"/>
  <c r="R50" i="24" s="1"/>
  <c r="R51" i="24" s="1"/>
  <c r="R52" i="24" s="1"/>
  <c r="R53" i="24" s="1"/>
  <c r="R54" i="24" s="1"/>
  <c r="R55" i="24" s="1"/>
  <c r="R56" i="24" s="1"/>
  <c r="R57" i="24" s="1"/>
  <c r="R58" i="24" s="1"/>
  <c r="R59" i="24" s="1"/>
  <c r="R60" i="24" s="1"/>
  <c r="R61" i="24" s="1"/>
  <c r="R62" i="24" s="1"/>
  <c r="R63" i="24" s="1"/>
  <c r="R64" i="24" s="1"/>
  <c r="R65" i="24" s="1"/>
  <c r="R66" i="24" s="1"/>
  <c r="R67" i="24" s="1"/>
  <c r="R68" i="24" s="1"/>
  <c r="R69" i="24" s="1"/>
  <c r="R70" i="24" s="1"/>
  <c r="R71" i="24" s="1"/>
  <c r="R72" i="24" s="1"/>
  <c r="R73" i="24" s="1"/>
  <c r="R74" i="24" s="1"/>
  <c r="R75" i="24" s="1"/>
  <c r="R76" i="24" s="1"/>
  <c r="R77" i="24" s="1"/>
  <c r="R78" i="24" s="1"/>
  <c r="R79" i="24" s="1"/>
  <c r="R80" i="24" s="1"/>
  <c r="R81" i="24" s="1"/>
  <c r="R82" i="24" s="1"/>
  <c r="R83" i="24" s="1"/>
  <c r="R84" i="24" s="1"/>
  <c r="R85" i="24" s="1"/>
  <c r="R86" i="24" s="1"/>
  <c r="R87" i="24" s="1"/>
  <c r="R88" i="24" s="1"/>
  <c r="R89" i="24" s="1"/>
  <c r="R90" i="24" s="1"/>
  <c r="R91" i="24" s="1"/>
  <c r="R92" i="24" s="1"/>
  <c r="R93" i="24" s="1"/>
  <c r="R94" i="24" s="1"/>
  <c r="R95" i="24" s="1"/>
  <c r="R96" i="24" s="1"/>
  <c r="R97" i="24" s="1"/>
  <c r="R98" i="24" s="1"/>
  <c r="R99" i="24" s="1"/>
  <c r="R100" i="24" s="1"/>
  <c r="R101" i="24" s="1"/>
  <c r="AC5" i="21"/>
  <c r="AM5" i="21" s="1"/>
  <c r="AC13" i="21"/>
  <c r="AM13" i="21" s="1"/>
  <c r="AC21" i="21"/>
  <c r="AC10" i="21"/>
  <c r="AM10" i="21" s="1"/>
  <c r="AC6" i="21"/>
  <c r="AC14" i="21"/>
  <c r="AC22" i="21"/>
  <c r="AM22" i="21" s="1"/>
  <c r="AC7" i="21"/>
  <c r="AM7" i="21" s="1"/>
  <c r="AC15" i="21"/>
  <c r="AM15" i="21" s="1"/>
  <c r="AC23" i="21"/>
  <c r="AM23" i="21" s="1"/>
  <c r="AC18" i="21"/>
  <c r="AM18" i="21" s="1"/>
  <c r="AC8" i="21"/>
  <c r="AC16" i="21"/>
  <c r="AM16" i="21" s="1"/>
  <c r="AC24" i="21"/>
  <c r="AM24" i="21" s="1"/>
  <c r="AC3" i="21"/>
  <c r="AM3" i="21" s="1"/>
  <c r="AC9" i="21"/>
  <c r="AM9" i="21" s="1"/>
  <c r="AC17" i="21"/>
  <c r="AM17" i="21" s="1"/>
  <c r="AC25" i="21"/>
  <c r="AC11" i="21"/>
  <c r="AM11" i="21" s="1"/>
  <c r="AC19" i="21"/>
  <c r="AC4" i="21"/>
  <c r="AM4" i="21" s="1"/>
  <c r="AC12" i="21"/>
  <c r="AC20" i="21"/>
  <c r="D36" i="49"/>
  <c r="E36" i="49" s="1"/>
  <c r="I36" i="49"/>
  <c r="C38" i="49"/>
  <c r="B37" i="49"/>
  <c r="H37" i="49"/>
  <c r="AC40" i="47"/>
  <c r="AF40" i="47" s="1"/>
  <c r="AB48" i="47"/>
  <c r="AG51" i="47"/>
  <c r="AD25" i="47"/>
  <c r="AD51" i="47"/>
  <c r="AD29" i="47"/>
  <c r="AC25" i="47"/>
  <c r="AF25" i="47" s="1"/>
  <c r="AB85" i="47"/>
  <c r="AG85" i="47"/>
  <c r="AC85" i="47"/>
  <c r="AF85" i="47" s="1"/>
  <c r="AD85" i="47"/>
  <c r="AG173" i="47"/>
  <c r="AC173" i="47"/>
  <c r="AF173" i="47" s="1"/>
  <c r="AB173" i="47"/>
  <c r="AD173" i="47"/>
  <c r="AC254" i="47"/>
  <c r="AF254" i="47" s="1"/>
  <c r="AG254" i="47"/>
  <c r="AD254" i="47"/>
  <c r="AB254" i="47"/>
  <c r="AB274" i="47"/>
  <c r="AD274" i="47"/>
  <c r="AG274" i="47"/>
  <c r="AC274" i="47"/>
  <c r="AF274" i="47" s="1"/>
  <c r="AC348" i="47"/>
  <c r="AF348" i="47" s="1"/>
  <c r="AD348" i="47"/>
  <c r="AG348" i="47"/>
  <c r="AB348" i="47"/>
  <c r="AB455" i="47"/>
  <c r="AG455" i="47"/>
  <c r="AD455" i="47"/>
  <c r="AC455" i="47"/>
  <c r="AF455" i="47" s="1"/>
  <c r="AD66" i="47"/>
  <c r="AB66" i="47"/>
  <c r="AC66" i="47"/>
  <c r="AF66" i="47" s="1"/>
  <c r="AG66" i="47"/>
  <c r="AD108" i="47"/>
  <c r="AB108" i="47"/>
  <c r="AG108" i="47"/>
  <c r="AC108" i="47"/>
  <c r="AF108" i="47" s="1"/>
  <c r="AD200" i="47"/>
  <c r="AG200" i="47"/>
  <c r="AC200" i="47"/>
  <c r="AF200" i="47" s="1"/>
  <c r="AB200" i="47"/>
  <c r="AG281" i="47"/>
  <c r="AC281" i="47"/>
  <c r="AF281" i="47" s="1"/>
  <c r="AD281" i="47"/>
  <c r="AB281" i="47"/>
  <c r="AC345" i="47"/>
  <c r="AF345" i="47" s="1"/>
  <c r="AD345" i="47"/>
  <c r="AB345" i="47"/>
  <c r="AG345" i="47"/>
  <c r="AB312" i="47"/>
  <c r="AD312" i="47"/>
  <c r="AG312" i="47"/>
  <c r="AC312" i="47"/>
  <c r="AF312" i="47" s="1"/>
  <c r="AC486" i="47"/>
  <c r="AF486" i="47" s="1"/>
  <c r="AG486" i="47"/>
  <c r="AB486" i="47"/>
  <c r="AD486" i="47"/>
  <c r="AD83" i="47"/>
  <c r="AG83" i="47"/>
  <c r="AB83" i="47"/>
  <c r="AC83" i="47"/>
  <c r="AF83" i="47" s="1"/>
  <c r="AB177" i="47"/>
  <c r="AG177" i="47"/>
  <c r="AD177" i="47"/>
  <c r="AC177" i="47"/>
  <c r="AF177" i="47" s="1"/>
  <c r="AD214" i="47"/>
  <c r="AG214" i="47"/>
  <c r="AB214" i="47"/>
  <c r="AC214" i="47"/>
  <c r="AF214" i="47" s="1"/>
  <c r="AC329" i="47"/>
  <c r="AF329" i="47" s="1"/>
  <c r="AD329" i="47"/>
  <c r="AB329" i="47"/>
  <c r="AG329" i="47"/>
  <c r="AG374" i="47"/>
  <c r="AD374" i="47"/>
  <c r="AB374" i="47"/>
  <c r="AC374" i="47"/>
  <c r="AF374" i="47" s="1"/>
  <c r="AG384" i="47"/>
  <c r="AD384" i="47"/>
  <c r="AC384" i="47"/>
  <c r="AF384" i="47" s="1"/>
  <c r="AB384" i="47"/>
  <c r="AB482" i="47"/>
  <c r="AC482" i="47"/>
  <c r="AF482" i="47" s="1"/>
  <c r="AG482" i="47"/>
  <c r="AD482" i="47"/>
  <c r="AC77" i="47"/>
  <c r="AF77" i="47" s="1"/>
  <c r="AB77" i="47"/>
  <c r="AG77" i="47"/>
  <c r="AD77" i="47"/>
  <c r="AB187" i="47"/>
  <c r="AD187" i="47"/>
  <c r="AG187" i="47"/>
  <c r="AC187" i="47"/>
  <c r="AF187" i="47" s="1"/>
  <c r="AG283" i="47"/>
  <c r="AD283" i="47"/>
  <c r="AB283" i="47"/>
  <c r="AC283" i="47"/>
  <c r="AF283" i="47" s="1"/>
  <c r="AG270" i="47"/>
  <c r="AH270" i="47" s="1"/>
  <c r="AB270" i="47"/>
  <c r="AD270" i="47"/>
  <c r="AC270" i="47"/>
  <c r="AF270" i="47" s="1"/>
  <c r="AG333" i="47"/>
  <c r="AB333" i="47"/>
  <c r="AC333" i="47"/>
  <c r="AF333" i="47" s="1"/>
  <c r="AD333" i="47"/>
  <c r="AG429" i="47"/>
  <c r="AB429" i="47"/>
  <c r="AD429" i="47"/>
  <c r="AC429" i="47"/>
  <c r="AF429" i="47" s="1"/>
  <c r="AC86" i="47"/>
  <c r="AF86" i="47" s="1"/>
  <c r="AB86" i="47"/>
  <c r="AD86" i="47"/>
  <c r="AG86" i="47"/>
  <c r="AC129" i="47"/>
  <c r="AF129" i="47" s="1"/>
  <c r="AB129" i="47"/>
  <c r="AG129" i="47"/>
  <c r="AD129" i="47"/>
  <c r="AB263" i="47"/>
  <c r="AG263" i="47"/>
  <c r="AD263" i="47"/>
  <c r="AC263" i="47"/>
  <c r="AF263" i="47" s="1"/>
  <c r="AG265" i="47"/>
  <c r="AD265" i="47"/>
  <c r="AC265" i="47"/>
  <c r="AF265" i="47" s="1"/>
  <c r="AB265" i="47"/>
  <c r="AD258" i="47"/>
  <c r="AG258" i="47"/>
  <c r="AC258" i="47"/>
  <c r="AF258" i="47" s="1"/>
  <c r="AB258" i="47"/>
  <c r="AC381" i="47"/>
  <c r="AF381" i="47" s="1"/>
  <c r="AG381" i="47"/>
  <c r="AB381" i="47"/>
  <c r="AD381" i="47"/>
  <c r="AG392" i="47"/>
  <c r="AC392" i="47"/>
  <c r="AF392" i="47" s="1"/>
  <c r="AD392" i="47"/>
  <c r="AB392" i="47"/>
  <c r="AC448" i="47"/>
  <c r="AF448" i="47" s="1"/>
  <c r="AD448" i="47"/>
  <c r="AG448" i="47"/>
  <c r="AB448" i="47"/>
  <c r="AD102" i="47"/>
  <c r="AG102" i="47"/>
  <c r="AB102" i="47"/>
  <c r="AC102" i="47"/>
  <c r="AF102" i="47" s="1"/>
  <c r="AB132" i="47"/>
  <c r="AC132" i="47"/>
  <c r="AF132" i="47" s="1"/>
  <c r="AD132" i="47"/>
  <c r="AG132" i="47"/>
  <c r="AD199" i="47"/>
  <c r="AC199" i="47"/>
  <c r="AF199" i="47" s="1"/>
  <c r="AB199" i="47"/>
  <c r="AG199" i="47"/>
  <c r="AG272" i="47"/>
  <c r="AB272" i="47"/>
  <c r="AD272" i="47"/>
  <c r="AC272" i="47"/>
  <c r="AF272" i="47" s="1"/>
  <c r="AG417" i="47"/>
  <c r="AB417" i="47"/>
  <c r="AC417" i="47"/>
  <c r="AF417" i="47" s="1"/>
  <c r="AD417" i="47"/>
  <c r="AB402" i="47"/>
  <c r="AD402" i="47"/>
  <c r="AC402" i="47"/>
  <c r="AF402" i="47" s="1"/>
  <c r="AG402" i="47"/>
  <c r="AC480" i="47"/>
  <c r="AF480" i="47" s="1"/>
  <c r="AD480" i="47"/>
  <c r="AG480" i="47"/>
  <c r="AB480" i="47"/>
  <c r="AC96" i="47"/>
  <c r="AF96" i="47" s="1"/>
  <c r="AG96" i="47"/>
  <c r="AB96" i="47"/>
  <c r="AD96" i="47"/>
  <c r="AG169" i="47"/>
  <c r="AD169" i="47"/>
  <c r="AC169" i="47"/>
  <c r="AF169" i="47" s="1"/>
  <c r="AB169" i="47"/>
  <c r="AG172" i="47"/>
  <c r="AC172" i="47"/>
  <c r="AF172" i="47" s="1"/>
  <c r="AB172" i="47"/>
  <c r="AD172" i="47"/>
  <c r="AG207" i="47"/>
  <c r="AB207" i="47"/>
  <c r="AD207" i="47"/>
  <c r="AC207" i="47"/>
  <c r="AF207" i="47" s="1"/>
  <c r="AC351" i="47"/>
  <c r="AF351" i="47" s="1"/>
  <c r="AB351" i="47"/>
  <c r="AD351" i="47"/>
  <c r="AG351" i="47"/>
  <c r="AG379" i="47"/>
  <c r="AB379" i="47"/>
  <c r="AC379" i="47"/>
  <c r="AF379" i="47" s="1"/>
  <c r="AD379" i="47"/>
  <c r="AD444" i="47"/>
  <c r="AC444" i="47"/>
  <c r="AF444" i="47" s="1"/>
  <c r="AB444" i="47"/>
  <c r="AG444" i="47"/>
  <c r="AD472" i="47"/>
  <c r="AG472" i="47"/>
  <c r="AC472" i="47"/>
  <c r="AF472" i="47" s="1"/>
  <c r="AB472" i="47"/>
  <c r="AD82" i="47"/>
  <c r="AG82" i="47"/>
  <c r="AB82" i="47"/>
  <c r="AC82" i="47"/>
  <c r="AF82" i="47" s="1"/>
  <c r="AG170" i="47"/>
  <c r="AB170" i="47"/>
  <c r="AC170" i="47"/>
  <c r="AF170" i="47" s="1"/>
  <c r="AD170" i="47"/>
  <c r="AC210" i="47"/>
  <c r="AF210" i="47" s="1"/>
  <c r="AG210" i="47"/>
  <c r="AB210" i="47"/>
  <c r="AD210" i="47"/>
  <c r="AG229" i="47"/>
  <c r="AC229" i="47"/>
  <c r="AF229" i="47" s="1"/>
  <c r="AD229" i="47"/>
  <c r="AB229" i="47"/>
  <c r="AG391" i="47"/>
  <c r="AB391" i="47"/>
  <c r="AC391" i="47"/>
  <c r="AF391" i="47" s="1"/>
  <c r="AD391" i="47"/>
  <c r="AG331" i="47"/>
  <c r="AC331" i="47"/>
  <c r="AF331" i="47" s="1"/>
  <c r="AB331" i="47"/>
  <c r="AD331" i="47"/>
  <c r="AD449" i="47"/>
  <c r="AG449" i="47"/>
  <c r="AB449" i="47"/>
  <c r="AC449" i="47"/>
  <c r="AF449" i="47" s="1"/>
  <c r="AD84" i="47"/>
  <c r="AC84" i="47"/>
  <c r="AF84" i="47" s="1"/>
  <c r="AG84" i="47"/>
  <c r="AB84" i="47"/>
  <c r="AC150" i="47"/>
  <c r="AF150" i="47" s="1"/>
  <c r="AB150" i="47"/>
  <c r="AG150" i="47"/>
  <c r="AD150" i="47"/>
  <c r="AC297" i="47"/>
  <c r="AF297" i="47" s="1"/>
  <c r="AB297" i="47"/>
  <c r="AG297" i="47"/>
  <c r="AD297" i="47"/>
  <c r="AD301" i="47"/>
  <c r="AG301" i="47"/>
  <c r="AC301" i="47"/>
  <c r="AF301" i="47" s="1"/>
  <c r="AB301" i="47"/>
  <c r="AD313" i="47"/>
  <c r="AG313" i="47"/>
  <c r="AB313" i="47"/>
  <c r="AC313" i="47"/>
  <c r="AF313" i="47" s="1"/>
  <c r="AG453" i="47"/>
  <c r="AD453" i="47"/>
  <c r="AC453" i="47"/>
  <c r="AF453" i="47" s="1"/>
  <c r="AB453" i="47"/>
  <c r="AD59" i="47"/>
  <c r="AG59" i="47"/>
  <c r="AB59" i="47"/>
  <c r="AC59" i="47"/>
  <c r="AF59" i="47" s="1"/>
  <c r="AC141" i="47"/>
  <c r="AF141" i="47" s="1"/>
  <c r="AD141" i="47"/>
  <c r="AG141" i="47"/>
  <c r="AB141" i="47"/>
  <c r="AD195" i="47"/>
  <c r="AC195" i="47"/>
  <c r="AF195" i="47" s="1"/>
  <c r="AG195" i="47"/>
  <c r="AB195" i="47"/>
  <c r="AG321" i="47"/>
  <c r="AC321" i="47"/>
  <c r="AF321" i="47" s="1"/>
  <c r="AD321" i="47"/>
  <c r="AB321" i="47"/>
  <c r="AG369" i="47"/>
  <c r="AD369" i="47"/>
  <c r="AC369" i="47"/>
  <c r="AF369" i="47" s="1"/>
  <c r="AB369" i="47"/>
  <c r="AG375" i="47"/>
  <c r="AC375" i="47"/>
  <c r="AF375" i="47" s="1"/>
  <c r="AD375" i="47"/>
  <c r="AB375" i="47"/>
  <c r="AC466" i="47"/>
  <c r="AF466" i="47" s="1"/>
  <c r="AD466" i="47"/>
  <c r="AB466" i="47"/>
  <c r="AG466" i="47"/>
  <c r="AC125" i="47"/>
  <c r="AF125" i="47" s="1"/>
  <c r="AG125" i="47"/>
  <c r="AB125" i="47"/>
  <c r="AD125" i="47"/>
  <c r="AC158" i="47"/>
  <c r="AF158" i="47" s="1"/>
  <c r="AG158" i="47"/>
  <c r="AB158" i="47"/>
  <c r="AD158" i="47"/>
  <c r="AG226" i="47"/>
  <c r="AB226" i="47"/>
  <c r="AD226" i="47"/>
  <c r="AC226" i="47"/>
  <c r="AF226" i="47" s="1"/>
  <c r="AD335" i="47"/>
  <c r="AG335" i="47"/>
  <c r="AB335" i="47"/>
  <c r="AC335" i="47"/>
  <c r="AF335" i="47" s="1"/>
  <c r="AC365" i="47"/>
  <c r="AF365" i="47" s="1"/>
  <c r="AG365" i="47"/>
  <c r="AB365" i="47"/>
  <c r="AD365" i="47"/>
  <c r="AD393" i="47"/>
  <c r="AG393" i="47"/>
  <c r="AC393" i="47"/>
  <c r="AF393" i="47" s="1"/>
  <c r="AB393" i="47"/>
  <c r="AG501" i="47"/>
  <c r="AH501" i="47" s="1"/>
  <c r="AD501" i="47"/>
  <c r="AC501" i="47"/>
  <c r="AF501" i="47" s="1"/>
  <c r="AB501" i="47"/>
  <c r="AG120" i="47"/>
  <c r="AB120" i="47"/>
  <c r="AD120" i="47"/>
  <c r="AC120" i="47"/>
  <c r="AF120" i="47" s="1"/>
  <c r="AD166" i="47"/>
  <c r="AC166" i="47"/>
  <c r="AF166" i="47" s="1"/>
  <c r="AG166" i="47"/>
  <c r="AB166" i="47"/>
  <c r="AD259" i="47"/>
  <c r="AG259" i="47"/>
  <c r="AB259" i="47"/>
  <c r="AC259" i="47"/>
  <c r="AF259" i="47" s="1"/>
  <c r="AG361" i="47"/>
  <c r="AB361" i="47"/>
  <c r="AC361" i="47"/>
  <c r="AF361" i="47" s="1"/>
  <c r="AD361" i="47"/>
  <c r="AB308" i="47"/>
  <c r="AG308" i="47"/>
  <c r="AD308" i="47"/>
  <c r="AC308" i="47"/>
  <c r="AF308" i="47" s="1"/>
  <c r="AG470" i="47"/>
  <c r="AC470" i="47"/>
  <c r="AF470" i="47" s="1"/>
  <c r="AD470" i="47"/>
  <c r="AB470" i="47"/>
  <c r="AB68" i="47"/>
  <c r="AC68" i="47"/>
  <c r="AF68" i="47" s="1"/>
  <c r="AG68" i="47"/>
  <c r="AD68" i="47"/>
  <c r="AD157" i="47"/>
  <c r="AG157" i="47"/>
  <c r="AC157" i="47"/>
  <c r="AF157" i="47" s="1"/>
  <c r="AB157" i="47"/>
  <c r="AC211" i="47"/>
  <c r="AF211" i="47" s="1"/>
  <c r="AG211" i="47"/>
  <c r="AD211" i="47"/>
  <c r="AB211" i="47"/>
  <c r="AG225" i="47"/>
  <c r="AD225" i="47"/>
  <c r="AC225" i="47"/>
  <c r="AF225" i="47" s="1"/>
  <c r="AB225" i="47"/>
  <c r="AG231" i="47"/>
  <c r="AC231" i="47"/>
  <c r="AF231" i="47" s="1"/>
  <c r="AD231" i="47"/>
  <c r="AB231" i="47"/>
  <c r="AG356" i="47"/>
  <c r="AD356" i="47"/>
  <c r="AB356" i="47"/>
  <c r="AC356" i="47"/>
  <c r="AF356" i="47" s="1"/>
  <c r="AC436" i="47"/>
  <c r="AF436" i="47" s="1"/>
  <c r="AG436" i="47"/>
  <c r="AB436" i="47"/>
  <c r="AD436" i="47"/>
  <c r="AC498" i="47"/>
  <c r="AF498" i="47" s="1"/>
  <c r="AG498" i="47"/>
  <c r="AD498" i="47"/>
  <c r="AB498" i="47"/>
  <c r="AC61" i="47"/>
  <c r="AF61" i="47" s="1"/>
  <c r="AG61" i="47"/>
  <c r="AB61" i="47"/>
  <c r="AD61" i="47"/>
  <c r="AG142" i="47"/>
  <c r="AB142" i="47"/>
  <c r="AD142" i="47"/>
  <c r="AC142" i="47"/>
  <c r="AF142" i="47" s="1"/>
  <c r="AC191" i="47"/>
  <c r="AF191" i="47" s="1"/>
  <c r="AD191" i="47"/>
  <c r="AG191" i="47"/>
  <c r="AB191" i="47"/>
  <c r="AG260" i="47"/>
  <c r="AD260" i="47"/>
  <c r="AC260" i="47"/>
  <c r="AF260" i="47" s="1"/>
  <c r="AB260" i="47"/>
  <c r="AG370" i="47"/>
  <c r="AC370" i="47"/>
  <c r="AF370" i="47" s="1"/>
  <c r="AB370" i="47"/>
  <c r="AD370" i="47"/>
  <c r="AC432" i="47"/>
  <c r="AF432" i="47" s="1"/>
  <c r="AB432" i="47"/>
  <c r="AD432" i="47"/>
  <c r="AG432" i="47"/>
  <c r="AG487" i="47"/>
  <c r="AB487" i="47"/>
  <c r="AD487" i="47"/>
  <c r="AC487" i="47"/>
  <c r="AF487" i="47" s="1"/>
  <c r="AD92" i="47"/>
  <c r="AB92" i="47"/>
  <c r="AG92" i="47"/>
  <c r="AC92" i="47"/>
  <c r="AF92" i="47" s="1"/>
  <c r="AG159" i="47"/>
  <c r="AB159" i="47"/>
  <c r="AC159" i="47"/>
  <c r="AF159" i="47" s="1"/>
  <c r="AD159" i="47"/>
  <c r="AD209" i="47"/>
  <c r="AG209" i="47"/>
  <c r="AB209" i="47"/>
  <c r="AC209" i="47"/>
  <c r="AF209" i="47" s="1"/>
  <c r="AD307" i="47"/>
  <c r="AG307" i="47"/>
  <c r="AC307" i="47"/>
  <c r="AF307" i="47" s="1"/>
  <c r="AB307" i="47"/>
  <c r="AG316" i="47"/>
  <c r="AD316" i="47"/>
  <c r="AC316" i="47"/>
  <c r="AF316" i="47" s="1"/>
  <c r="AB316" i="47"/>
  <c r="AB330" i="47"/>
  <c r="AD330" i="47"/>
  <c r="AC330" i="47"/>
  <c r="AF330" i="47" s="1"/>
  <c r="AG330" i="47"/>
  <c r="AG447" i="47"/>
  <c r="AD447" i="47"/>
  <c r="AC447" i="47"/>
  <c r="AF447" i="47" s="1"/>
  <c r="AB447" i="47"/>
  <c r="AD496" i="47"/>
  <c r="AG496" i="47"/>
  <c r="AB496" i="47"/>
  <c r="AC496" i="47"/>
  <c r="AF496" i="47" s="1"/>
  <c r="AG91" i="47"/>
  <c r="AC91" i="47"/>
  <c r="AF91" i="47" s="1"/>
  <c r="AD91" i="47"/>
  <c r="AB91" i="47"/>
  <c r="AG151" i="47"/>
  <c r="AB151" i="47"/>
  <c r="AD151" i="47"/>
  <c r="AC151" i="47"/>
  <c r="AF151" i="47" s="1"/>
  <c r="AG236" i="47"/>
  <c r="AD236" i="47"/>
  <c r="AB236" i="47"/>
  <c r="AC236" i="47"/>
  <c r="AF236" i="47" s="1"/>
  <c r="AC295" i="47"/>
  <c r="AF295" i="47" s="1"/>
  <c r="AD295" i="47"/>
  <c r="AG295" i="47"/>
  <c r="AB295" i="47"/>
  <c r="AD431" i="47"/>
  <c r="AC431" i="47"/>
  <c r="AF431" i="47" s="1"/>
  <c r="AB431" i="47"/>
  <c r="AG431" i="47"/>
  <c r="AD364" i="47"/>
  <c r="AB364" i="47"/>
  <c r="AC364" i="47"/>
  <c r="AF364" i="47" s="1"/>
  <c r="AG364" i="47"/>
  <c r="AG457" i="47"/>
  <c r="AD457" i="47"/>
  <c r="AB457" i="47"/>
  <c r="AC457" i="47"/>
  <c r="AF457" i="47" s="1"/>
  <c r="AB97" i="47"/>
  <c r="AC97" i="47"/>
  <c r="AF97" i="47" s="1"/>
  <c r="AD97" i="47"/>
  <c r="AG97" i="47"/>
  <c r="AD188" i="47"/>
  <c r="AB188" i="47"/>
  <c r="AG188" i="47"/>
  <c r="AC188" i="47"/>
  <c r="AF188" i="47" s="1"/>
  <c r="AD249" i="47"/>
  <c r="AG249" i="47"/>
  <c r="AB249" i="47"/>
  <c r="AC249" i="47"/>
  <c r="AF249" i="47" s="1"/>
  <c r="AG332" i="47"/>
  <c r="AC332" i="47"/>
  <c r="AF332" i="47" s="1"/>
  <c r="AB332" i="47"/>
  <c r="AD332" i="47"/>
  <c r="AG323" i="47"/>
  <c r="AB323" i="47"/>
  <c r="AC323" i="47"/>
  <c r="AF323" i="47" s="1"/>
  <c r="AD323" i="47"/>
  <c r="AB478" i="47"/>
  <c r="AG478" i="47"/>
  <c r="AC478" i="47"/>
  <c r="AF478" i="47" s="1"/>
  <c r="AD478" i="47"/>
  <c r="AG81" i="47"/>
  <c r="AC81" i="47"/>
  <c r="AF81" i="47" s="1"/>
  <c r="AB81" i="47"/>
  <c r="AD81" i="47"/>
  <c r="AB160" i="47"/>
  <c r="AD160" i="47"/>
  <c r="AG160" i="47"/>
  <c r="AC160" i="47"/>
  <c r="AF160" i="47" s="1"/>
  <c r="AB222" i="47"/>
  <c r="AC222" i="47"/>
  <c r="AF222" i="47" s="1"/>
  <c r="AD222" i="47"/>
  <c r="AG222" i="47"/>
  <c r="AD244" i="47"/>
  <c r="AB244" i="47"/>
  <c r="AC244" i="47"/>
  <c r="AF244" i="47" s="1"/>
  <c r="AG244" i="47"/>
  <c r="AD320" i="47"/>
  <c r="AB320" i="47"/>
  <c r="AG320" i="47"/>
  <c r="AC320" i="47"/>
  <c r="AF320" i="47" s="1"/>
  <c r="AG388" i="47"/>
  <c r="AD388" i="47"/>
  <c r="AC388" i="47"/>
  <c r="AF388" i="47" s="1"/>
  <c r="AB388" i="47"/>
  <c r="AD500" i="47"/>
  <c r="AB500" i="47"/>
  <c r="AG500" i="47"/>
  <c r="AC500" i="47"/>
  <c r="AF500" i="47" s="1"/>
  <c r="AB99" i="47"/>
  <c r="AD99" i="47"/>
  <c r="AC99" i="47"/>
  <c r="AF99" i="47" s="1"/>
  <c r="AG99" i="47"/>
  <c r="AD201" i="47"/>
  <c r="AG201" i="47"/>
  <c r="AC201" i="47"/>
  <c r="AF201" i="47" s="1"/>
  <c r="AB201" i="47"/>
  <c r="AB257" i="47"/>
  <c r="AG257" i="47"/>
  <c r="AD257" i="47"/>
  <c r="AC257" i="47"/>
  <c r="AF257" i="47" s="1"/>
  <c r="AB298" i="47"/>
  <c r="AD298" i="47"/>
  <c r="AC298" i="47"/>
  <c r="AF298" i="47" s="1"/>
  <c r="AG298" i="47"/>
  <c r="AG407" i="47"/>
  <c r="AD407" i="47"/>
  <c r="AB407" i="47"/>
  <c r="AC407" i="47"/>
  <c r="AF407" i="47" s="1"/>
  <c r="AC477" i="47"/>
  <c r="AF477" i="47" s="1"/>
  <c r="AG477" i="47"/>
  <c r="AB477" i="47"/>
  <c r="AD477" i="47"/>
  <c r="AC54" i="47"/>
  <c r="AF54" i="47" s="1"/>
  <c r="AD54" i="47"/>
  <c r="AG54" i="47"/>
  <c r="AB54" i="47"/>
  <c r="AG53" i="47"/>
  <c r="AD53" i="47"/>
  <c r="AC53" i="47"/>
  <c r="AF53" i="47" s="1"/>
  <c r="AB53" i="47"/>
  <c r="AB216" i="47"/>
  <c r="AC216" i="47"/>
  <c r="AF216" i="47" s="1"/>
  <c r="AG216" i="47"/>
  <c r="AD216" i="47"/>
  <c r="AG245" i="47"/>
  <c r="AC245" i="47"/>
  <c r="AF245" i="47" s="1"/>
  <c r="AD245" i="47"/>
  <c r="AB245" i="47"/>
  <c r="AG309" i="47"/>
  <c r="AC309" i="47"/>
  <c r="AF309" i="47" s="1"/>
  <c r="AB309" i="47"/>
  <c r="AD309" i="47"/>
  <c r="AB397" i="47"/>
  <c r="AD397" i="47"/>
  <c r="AG397" i="47"/>
  <c r="AC397" i="47"/>
  <c r="AF397" i="47" s="1"/>
  <c r="AD473" i="47"/>
  <c r="AB473" i="47"/>
  <c r="AG473" i="47"/>
  <c r="AC473" i="47"/>
  <c r="AF473" i="47" s="1"/>
  <c r="AB94" i="47"/>
  <c r="AC94" i="47"/>
  <c r="AF94" i="47" s="1"/>
  <c r="AG94" i="47"/>
  <c r="AD94" i="47"/>
  <c r="AD135" i="47"/>
  <c r="AG135" i="47"/>
  <c r="AB135" i="47"/>
  <c r="AC135" i="47"/>
  <c r="AF135" i="47" s="1"/>
  <c r="AG202" i="47"/>
  <c r="AC202" i="47"/>
  <c r="AF202" i="47" s="1"/>
  <c r="AB202" i="47"/>
  <c r="AD202" i="47"/>
  <c r="AB310" i="47"/>
  <c r="AD310" i="47"/>
  <c r="AC310" i="47"/>
  <c r="AF310" i="47" s="1"/>
  <c r="AG310" i="47"/>
  <c r="AG294" i="47"/>
  <c r="AH294" i="47" s="1"/>
  <c r="AD294" i="47"/>
  <c r="AC294" i="47"/>
  <c r="AF294" i="47" s="1"/>
  <c r="AB294" i="47"/>
  <c r="AG363" i="47"/>
  <c r="AD363" i="47"/>
  <c r="AB363" i="47"/>
  <c r="AC363" i="47"/>
  <c r="AF363" i="47" s="1"/>
  <c r="AD469" i="47"/>
  <c r="AB469" i="47"/>
  <c r="AC469" i="47"/>
  <c r="AF469" i="47" s="1"/>
  <c r="AG469" i="47"/>
  <c r="AD425" i="47"/>
  <c r="AG425" i="47"/>
  <c r="AB425" i="47"/>
  <c r="AC425" i="47"/>
  <c r="AF425" i="47" s="1"/>
  <c r="AD90" i="47"/>
  <c r="AG90" i="47"/>
  <c r="AC90" i="47"/>
  <c r="AF90" i="47" s="1"/>
  <c r="AB90" i="47"/>
  <c r="AC171" i="47"/>
  <c r="AF171" i="47" s="1"/>
  <c r="AG171" i="47"/>
  <c r="AD171" i="47"/>
  <c r="AB171" i="47"/>
  <c r="AG205" i="47"/>
  <c r="AD205" i="47"/>
  <c r="AC205" i="47"/>
  <c r="AF205" i="47" s="1"/>
  <c r="AB205" i="47"/>
  <c r="AD293" i="47"/>
  <c r="AB293" i="47"/>
  <c r="AG293" i="47"/>
  <c r="AC293" i="47"/>
  <c r="AF293" i="47" s="1"/>
  <c r="AB346" i="47"/>
  <c r="AC346" i="47"/>
  <c r="AF346" i="47" s="1"/>
  <c r="AG346" i="47"/>
  <c r="AD346" i="47"/>
  <c r="AG439" i="47"/>
  <c r="AB439" i="47"/>
  <c r="AC439" i="47"/>
  <c r="AF439" i="47" s="1"/>
  <c r="AD439" i="47"/>
  <c r="AB489" i="47"/>
  <c r="AC489" i="47"/>
  <c r="AF489" i="47" s="1"/>
  <c r="AD489" i="47"/>
  <c r="AG489" i="47"/>
  <c r="AD144" i="47"/>
  <c r="AG144" i="47"/>
  <c r="AB144" i="47"/>
  <c r="AC144" i="47"/>
  <c r="AF144" i="47" s="1"/>
  <c r="AG154" i="47"/>
  <c r="AD154" i="47"/>
  <c r="AB154" i="47"/>
  <c r="AC154" i="47"/>
  <c r="AF154" i="47" s="1"/>
  <c r="AD218" i="47"/>
  <c r="AG218" i="47"/>
  <c r="AB218" i="47"/>
  <c r="AC218" i="47"/>
  <c r="AF218" i="47" s="1"/>
  <c r="AG319" i="47"/>
  <c r="AC319" i="47"/>
  <c r="AF319" i="47" s="1"/>
  <c r="AB319" i="47"/>
  <c r="AD319" i="47"/>
  <c r="AD386" i="47"/>
  <c r="AB386" i="47"/>
  <c r="AG386" i="47"/>
  <c r="AC386" i="47"/>
  <c r="AF386" i="47" s="1"/>
  <c r="AG339" i="47"/>
  <c r="AC339" i="47"/>
  <c r="AF339" i="47" s="1"/>
  <c r="AB339" i="47"/>
  <c r="AD339" i="47"/>
  <c r="AG450" i="47"/>
  <c r="AC450" i="47"/>
  <c r="AF450" i="47" s="1"/>
  <c r="AD450" i="47"/>
  <c r="AB450" i="47"/>
  <c r="AG497" i="47"/>
  <c r="AB497" i="47"/>
  <c r="AD497" i="47"/>
  <c r="AC497" i="47"/>
  <c r="AF497" i="47" s="1"/>
  <c r="AC119" i="47"/>
  <c r="AF119" i="47" s="1"/>
  <c r="AB119" i="47"/>
  <c r="AD119" i="47"/>
  <c r="AG119" i="47"/>
  <c r="AC146" i="47"/>
  <c r="AF146" i="47" s="1"/>
  <c r="AD146" i="47"/>
  <c r="AB146" i="47"/>
  <c r="AG146" i="47"/>
  <c r="AG238" i="47"/>
  <c r="AC238" i="47"/>
  <c r="AF238" i="47" s="1"/>
  <c r="AB238" i="47"/>
  <c r="AD238" i="47"/>
  <c r="AG284" i="47"/>
  <c r="AD284" i="47"/>
  <c r="AC284" i="47"/>
  <c r="AF284" i="47" s="1"/>
  <c r="AB284" i="47"/>
  <c r="AG398" i="47"/>
  <c r="AB398" i="47"/>
  <c r="AC398" i="47"/>
  <c r="AF398" i="47" s="1"/>
  <c r="AD398" i="47"/>
  <c r="AG382" i="47"/>
  <c r="AB382" i="47"/>
  <c r="AD382" i="47"/>
  <c r="AC382" i="47"/>
  <c r="AF382" i="47" s="1"/>
  <c r="AC484" i="47"/>
  <c r="AF484" i="47" s="1"/>
  <c r="AG484" i="47"/>
  <c r="AB484" i="47"/>
  <c r="AD484" i="47"/>
  <c r="AG115" i="47"/>
  <c r="AB115" i="47"/>
  <c r="AD115" i="47"/>
  <c r="AC115" i="47"/>
  <c r="AF115" i="47" s="1"/>
  <c r="AC176" i="47"/>
  <c r="AF176" i="47" s="1"/>
  <c r="AD176" i="47"/>
  <c r="AG176" i="47"/>
  <c r="AB176" i="47"/>
  <c r="AC304" i="47"/>
  <c r="AF304" i="47" s="1"/>
  <c r="AD304" i="47"/>
  <c r="AG304" i="47"/>
  <c r="AB304" i="47"/>
  <c r="AC401" i="47"/>
  <c r="AF401" i="47" s="1"/>
  <c r="AD401" i="47"/>
  <c r="AG401" i="47"/>
  <c r="AB401" i="47"/>
  <c r="AG380" i="47"/>
  <c r="AD380" i="47"/>
  <c r="AC380" i="47"/>
  <c r="AF380" i="47" s="1"/>
  <c r="AB380" i="47"/>
  <c r="AD395" i="47"/>
  <c r="AG395" i="47"/>
  <c r="AB395" i="47"/>
  <c r="AC395" i="47"/>
  <c r="AF395" i="47" s="1"/>
  <c r="AB95" i="47"/>
  <c r="AG95" i="47"/>
  <c r="AD95" i="47"/>
  <c r="AC95" i="47"/>
  <c r="AF95" i="47" s="1"/>
  <c r="AC124" i="47"/>
  <c r="AF124" i="47" s="1"/>
  <c r="AB124" i="47"/>
  <c r="AG124" i="47"/>
  <c r="AD124" i="47"/>
  <c r="AG212" i="47"/>
  <c r="AC212" i="47"/>
  <c r="AF212" i="47" s="1"/>
  <c r="AD212" i="47"/>
  <c r="AB212" i="47"/>
  <c r="AG237" i="47"/>
  <c r="AC237" i="47"/>
  <c r="AF237" i="47" s="1"/>
  <c r="AB237" i="47"/>
  <c r="AD237" i="47"/>
  <c r="AC404" i="47"/>
  <c r="AF404" i="47" s="1"/>
  <c r="AD404" i="47"/>
  <c r="AB404" i="47"/>
  <c r="AG404" i="47"/>
  <c r="AD468" i="47"/>
  <c r="AG468" i="47"/>
  <c r="AB468" i="47"/>
  <c r="AC468" i="47"/>
  <c r="AF468" i="47" s="1"/>
  <c r="AC488" i="47"/>
  <c r="AF488" i="47" s="1"/>
  <c r="AB488" i="47"/>
  <c r="AG488" i="47"/>
  <c r="AD488" i="47"/>
  <c r="AB128" i="47"/>
  <c r="AG128" i="47"/>
  <c r="AC128" i="47"/>
  <c r="AF128" i="47" s="1"/>
  <c r="AD128" i="47"/>
  <c r="AD203" i="47"/>
  <c r="AC203" i="47"/>
  <c r="AF203" i="47" s="1"/>
  <c r="AG203" i="47"/>
  <c r="AB203" i="47"/>
  <c r="AG221" i="47"/>
  <c r="AC221" i="47"/>
  <c r="AF221" i="47" s="1"/>
  <c r="AD221" i="47"/>
  <c r="AB221" i="47"/>
  <c r="AG292" i="47"/>
  <c r="AB292" i="47"/>
  <c r="AC292" i="47"/>
  <c r="AF292" i="47" s="1"/>
  <c r="AD292" i="47"/>
  <c r="AD442" i="47"/>
  <c r="AB442" i="47"/>
  <c r="AG442" i="47"/>
  <c r="AC442" i="47"/>
  <c r="AF442" i="47" s="1"/>
  <c r="AB427" i="47"/>
  <c r="AC427" i="47"/>
  <c r="AF427" i="47" s="1"/>
  <c r="AD427" i="47"/>
  <c r="AG427" i="47"/>
  <c r="AB55" i="47"/>
  <c r="AD55" i="47"/>
  <c r="AC55" i="47"/>
  <c r="AF55" i="47" s="1"/>
  <c r="AG55" i="47"/>
  <c r="AD122" i="47"/>
  <c r="AG122" i="47"/>
  <c r="AC122" i="47"/>
  <c r="AF122" i="47" s="1"/>
  <c r="AB122" i="47"/>
  <c r="AD255" i="47"/>
  <c r="AG255" i="47"/>
  <c r="AB255" i="47"/>
  <c r="AC255" i="47"/>
  <c r="AF255" i="47" s="1"/>
  <c r="AD318" i="47"/>
  <c r="AB318" i="47"/>
  <c r="AG318" i="47"/>
  <c r="AC318" i="47"/>
  <c r="AF318" i="47" s="1"/>
  <c r="AG324" i="47"/>
  <c r="AD324" i="47"/>
  <c r="AC324" i="47"/>
  <c r="AF324" i="47" s="1"/>
  <c r="AB324" i="47"/>
  <c r="AG411" i="47"/>
  <c r="AB411" i="47"/>
  <c r="AC411" i="47"/>
  <c r="AF411" i="47" s="1"/>
  <c r="AD411" i="47"/>
  <c r="AG461" i="47"/>
  <c r="AB461" i="47"/>
  <c r="AC461" i="47"/>
  <c r="AF461" i="47" s="1"/>
  <c r="AD461" i="47"/>
  <c r="AD93" i="47"/>
  <c r="AG93" i="47"/>
  <c r="AB93" i="47"/>
  <c r="AC93" i="47"/>
  <c r="AF93" i="47" s="1"/>
  <c r="AB149" i="47"/>
  <c r="AC149" i="47"/>
  <c r="AF149" i="47" s="1"/>
  <c r="AG149" i="47"/>
  <c r="AD149" i="47"/>
  <c r="AG246" i="47"/>
  <c r="AB246" i="47"/>
  <c r="AD246" i="47"/>
  <c r="AC246" i="47"/>
  <c r="AF246" i="47" s="1"/>
  <c r="AG288" i="47"/>
  <c r="AB288" i="47"/>
  <c r="AD288" i="47"/>
  <c r="AC288" i="47"/>
  <c r="AF288" i="47" s="1"/>
  <c r="AD342" i="47"/>
  <c r="AG342" i="47"/>
  <c r="AB342" i="47"/>
  <c r="AC342" i="47"/>
  <c r="AF342" i="47" s="1"/>
  <c r="AB325" i="47"/>
  <c r="AC325" i="47"/>
  <c r="AF325" i="47" s="1"/>
  <c r="AD325" i="47"/>
  <c r="AG325" i="47"/>
  <c r="AC440" i="47"/>
  <c r="AF440" i="47" s="1"/>
  <c r="AB440" i="47"/>
  <c r="AD440" i="47"/>
  <c r="AG440" i="47"/>
  <c r="AG499" i="47"/>
  <c r="AC499" i="47"/>
  <c r="AF499" i="47" s="1"/>
  <c r="AD499" i="47"/>
  <c r="AB499" i="47"/>
  <c r="AD131" i="47"/>
  <c r="AG131" i="47"/>
  <c r="AC131" i="47"/>
  <c r="AF131" i="47" s="1"/>
  <c r="AB131" i="47"/>
  <c r="AC168" i="47"/>
  <c r="AF168" i="47" s="1"/>
  <c r="AD168" i="47"/>
  <c r="AG168" i="47"/>
  <c r="AB168" i="47"/>
  <c r="AB204" i="47"/>
  <c r="AD204" i="47"/>
  <c r="AG204" i="47"/>
  <c r="AC204" i="47"/>
  <c r="AF204" i="47" s="1"/>
  <c r="AG273" i="47"/>
  <c r="AB273" i="47"/>
  <c r="AD273" i="47"/>
  <c r="AC273" i="47"/>
  <c r="AF273" i="47" s="1"/>
  <c r="AG387" i="47"/>
  <c r="AC387" i="47"/>
  <c r="AF387" i="47" s="1"/>
  <c r="AD387" i="47"/>
  <c r="AB387" i="47"/>
  <c r="AG441" i="47"/>
  <c r="AD441" i="47"/>
  <c r="AB441" i="47"/>
  <c r="AC441" i="47"/>
  <c r="AF441" i="47" s="1"/>
  <c r="AB72" i="47"/>
  <c r="AG72" i="47"/>
  <c r="AD72" i="47"/>
  <c r="AC72" i="47"/>
  <c r="AF72" i="47" s="1"/>
  <c r="AC127" i="47"/>
  <c r="AF127" i="47" s="1"/>
  <c r="AG127" i="47"/>
  <c r="AD127" i="47"/>
  <c r="AB127" i="47"/>
  <c r="AB223" i="47"/>
  <c r="AC223" i="47"/>
  <c r="AF223" i="47" s="1"/>
  <c r="AG223" i="47"/>
  <c r="AD223" i="47"/>
  <c r="AC239" i="47"/>
  <c r="AF239" i="47" s="1"/>
  <c r="AD239" i="47"/>
  <c r="AG239" i="47"/>
  <c r="AB239" i="47"/>
  <c r="AG287" i="47"/>
  <c r="AD287" i="47"/>
  <c r="AC287" i="47"/>
  <c r="AF287" i="47" s="1"/>
  <c r="AB287" i="47"/>
  <c r="AD421" i="47"/>
  <c r="AG421" i="47"/>
  <c r="AB421" i="47"/>
  <c r="AC421" i="47"/>
  <c r="AF421" i="47" s="1"/>
  <c r="AB415" i="47"/>
  <c r="AC415" i="47"/>
  <c r="AF415" i="47" s="1"/>
  <c r="AD415" i="47"/>
  <c r="AG415" i="47"/>
  <c r="AB443" i="47"/>
  <c r="AC443" i="47"/>
  <c r="AF443" i="47" s="1"/>
  <c r="AD443" i="47"/>
  <c r="AG443" i="47"/>
  <c r="AD80" i="47"/>
  <c r="AC80" i="47"/>
  <c r="AF80" i="47" s="1"/>
  <c r="AB80" i="47"/>
  <c r="AG80" i="47"/>
  <c r="AC103" i="47"/>
  <c r="AF103" i="47" s="1"/>
  <c r="AG103" i="47"/>
  <c r="AD103" i="47"/>
  <c r="AB103" i="47"/>
  <c r="AB193" i="47"/>
  <c r="AG193" i="47"/>
  <c r="AD193" i="47"/>
  <c r="AC193" i="47"/>
  <c r="AF193" i="47" s="1"/>
  <c r="AG247" i="47"/>
  <c r="AB247" i="47"/>
  <c r="AD247" i="47"/>
  <c r="AC247" i="47"/>
  <c r="AF247" i="47" s="1"/>
  <c r="AC253" i="47"/>
  <c r="AF253" i="47" s="1"/>
  <c r="AG253" i="47"/>
  <c r="AB253" i="47"/>
  <c r="AD253" i="47"/>
  <c r="AD422" i="47"/>
  <c r="AC422" i="47"/>
  <c r="AF422" i="47" s="1"/>
  <c r="AG422" i="47"/>
  <c r="AB422" i="47"/>
  <c r="AD409" i="47"/>
  <c r="AG409" i="47"/>
  <c r="AB409" i="47"/>
  <c r="AC409" i="47"/>
  <c r="AF409" i="47" s="1"/>
  <c r="AB459" i="47"/>
  <c r="AG459" i="47"/>
  <c r="AC459" i="47"/>
  <c r="AF459" i="47" s="1"/>
  <c r="AD459" i="47"/>
  <c r="AB114" i="47"/>
  <c r="AD114" i="47"/>
  <c r="AG114" i="47"/>
  <c r="AC114" i="47"/>
  <c r="AF114" i="47" s="1"/>
  <c r="AG162" i="47"/>
  <c r="AC162" i="47"/>
  <c r="AF162" i="47" s="1"/>
  <c r="AD162" i="47"/>
  <c r="AB162" i="47"/>
  <c r="AB299" i="47"/>
  <c r="AG299" i="47"/>
  <c r="AC299" i="47"/>
  <c r="AF299" i="47" s="1"/>
  <c r="AD299" i="47"/>
  <c r="AB400" i="47"/>
  <c r="AG400" i="47"/>
  <c r="AC400" i="47"/>
  <c r="AF400" i="47" s="1"/>
  <c r="AD400" i="47"/>
  <c r="AG410" i="47"/>
  <c r="AB410" i="47"/>
  <c r="AC410" i="47"/>
  <c r="AF410" i="47" s="1"/>
  <c r="AD410" i="47"/>
  <c r="AC492" i="47"/>
  <c r="AF492" i="47" s="1"/>
  <c r="AD492" i="47"/>
  <c r="AB492" i="47"/>
  <c r="AG492" i="47"/>
  <c r="AC69" i="47"/>
  <c r="AF69" i="47" s="1"/>
  <c r="AG69" i="47"/>
  <c r="AB69" i="47"/>
  <c r="AD69" i="47"/>
  <c r="AC163" i="47"/>
  <c r="AF163" i="47" s="1"/>
  <c r="AG163" i="47"/>
  <c r="AB163" i="47"/>
  <c r="AD163" i="47"/>
  <c r="AG178" i="47"/>
  <c r="AC178" i="47"/>
  <c r="AF178" i="47" s="1"/>
  <c r="AD178" i="47"/>
  <c r="AB178" i="47"/>
  <c r="AG268" i="47"/>
  <c r="AH268" i="47" s="1"/>
  <c r="AD268" i="47"/>
  <c r="AC268" i="47"/>
  <c r="AF268" i="47" s="1"/>
  <c r="AB268" i="47"/>
  <c r="AD434" i="47"/>
  <c r="AG434" i="47"/>
  <c r="AB434" i="47"/>
  <c r="AC434" i="47"/>
  <c r="AF434" i="47" s="1"/>
  <c r="AB435" i="47"/>
  <c r="AC435" i="47"/>
  <c r="AF435" i="47" s="1"/>
  <c r="AD435" i="47"/>
  <c r="AG435" i="47"/>
  <c r="AC78" i="47"/>
  <c r="AF78" i="47" s="1"/>
  <c r="AG78" i="47"/>
  <c r="AD78" i="47"/>
  <c r="AB78" i="47"/>
  <c r="AD152" i="47"/>
  <c r="AG152" i="47"/>
  <c r="AB152" i="47"/>
  <c r="AC152" i="47"/>
  <c r="AF152" i="47" s="1"/>
  <c r="AB192" i="47"/>
  <c r="AC192" i="47"/>
  <c r="AF192" i="47" s="1"/>
  <c r="AG192" i="47"/>
  <c r="AD192" i="47"/>
  <c r="AG264" i="47"/>
  <c r="AH264" i="47" s="1"/>
  <c r="AB264" i="47"/>
  <c r="AD264" i="47"/>
  <c r="AC264" i="47"/>
  <c r="AF264" i="47" s="1"/>
  <c r="AC250" i="47"/>
  <c r="AF250" i="47" s="1"/>
  <c r="AB250" i="47"/>
  <c r="AD250" i="47"/>
  <c r="AG250" i="47"/>
  <c r="AC373" i="47"/>
  <c r="AF373" i="47" s="1"/>
  <c r="AB373" i="47"/>
  <c r="AD373" i="47"/>
  <c r="AG373" i="47"/>
  <c r="AC465" i="47"/>
  <c r="AF465" i="47" s="1"/>
  <c r="AG465" i="47"/>
  <c r="AB465" i="47"/>
  <c r="AD465" i="47"/>
  <c r="AC76" i="47"/>
  <c r="AF76" i="47" s="1"/>
  <c r="AD76" i="47"/>
  <c r="AB76" i="47"/>
  <c r="AG76" i="47"/>
  <c r="AC155" i="47"/>
  <c r="AF155" i="47" s="1"/>
  <c r="AB155" i="47"/>
  <c r="AD155" i="47"/>
  <c r="AG155" i="47"/>
  <c r="AB219" i="47"/>
  <c r="AG219" i="47"/>
  <c r="AC219" i="47"/>
  <c r="AF219" i="47" s="1"/>
  <c r="AD219" i="47"/>
  <c r="AC337" i="47"/>
  <c r="AF337" i="47" s="1"/>
  <c r="AD337" i="47"/>
  <c r="AG337" i="47"/>
  <c r="AB337" i="47"/>
  <c r="AG352" i="47"/>
  <c r="AC352" i="47"/>
  <c r="AF352" i="47" s="1"/>
  <c r="AB352" i="47"/>
  <c r="AD352" i="47"/>
  <c r="AG390" i="47"/>
  <c r="AC390" i="47"/>
  <c r="AF390" i="47" s="1"/>
  <c r="AD390" i="47"/>
  <c r="AB390" i="47"/>
  <c r="AB490" i="47"/>
  <c r="AD490" i="47"/>
  <c r="AC490" i="47"/>
  <c r="AF490" i="47" s="1"/>
  <c r="AG490" i="47"/>
  <c r="AB123" i="47"/>
  <c r="AC123" i="47"/>
  <c r="AF123" i="47" s="1"/>
  <c r="AD123" i="47"/>
  <c r="AG123" i="47"/>
  <c r="AD153" i="47"/>
  <c r="AG153" i="47"/>
  <c r="AB153" i="47"/>
  <c r="AC153" i="47"/>
  <c r="AF153" i="47" s="1"/>
  <c r="AB234" i="47"/>
  <c r="AC234" i="47"/>
  <c r="AF234" i="47" s="1"/>
  <c r="AD234" i="47"/>
  <c r="AG234" i="47"/>
  <c r="AD326" i="47"/>
  <c r="AB326" i="47"/>
  <c r="AG326" i="47"/>
  <c r="AC326" i="47"/>
  <c r="AF326" i="47" s="1"/>
  <c r="AD353" i="47"/>
  <c r="AG353" i="47"/>
  <c r="AB353" i="47"/>
  <c r="AC353" i="47"/>
  <c r="AF353" i="47" s="1"/>
  <c r="AG306" i="47"/>
  <c r="AB306" i="47"/>
  <c r="AC306" i="47"/>
  <c r="AF306" i="47" s="1"/>
  <c r="AD306" i="47"/>
  <c r="AB408" i="47"/>
  <c r="AG408" i="47"/>
  <c r="AC408" i="47"/>
  <c r="AF408" i="47" s="1"/>
  <c r="AD408" i="47"/>
  <c r="AC70" i="47"/>
  <c r="AF70" i="47" s="1"/>
  <c r="AD70" i="47"/>
  <c r="AG70" i="47"/>
  <c r="AB70" i="47"/>
  <c r="AD121" i="47"/>
  <c r="AB121" i="47"/>
  <c r="AC121" i="47"/>
  <c r="AF121" i="47" s="1"/>
  <c r="AG121" i="47"/>
  <c r="AD167" i="47"/>
  <c r="AC167" i="47"/>
  <c r="AF167" i="47" s="1"/>
  <c r="AG167" i="47"/>
  <c r="AB167" i="47"/>
  <c r="AD235" i="47"/>
  <c r="AB235" i="47"/>
  <c r="AC235" i="47"/>
  <c r="AF235" i="47" s="1"/>
  <c r="AG235" i="47"/>
  <c r="AD377" i="47"/>
  <c r="AG377" i="47"/>
  <c r="AB377" i="47"/>
  <c r="AC377" i="47"/>
  <c r="AF377" i="47" s="1"/>
  <c r="AD317" i="47"/>
  <c r="AG317" i="47"/>
  <c r="AB317" i="47"/>
  <c r="AC317" i="47"/>
  <c r="AF317" i="47" s="1"/>
  <c r="AG433" i="47"/>
  <c r="AB433" i="47"/>
  <c r="AD433" i="47"/>
  <c r="AC433" i="47"/>
  <c r="AF433" i="47" s="1"/>
  <c r="AG57" i="47"/>
  <c r="AC57" i="47"/>
  <c r="AF57" i="47" s="1"/>
  <c r="AD57" i="47"/>
  <c r="AB57" i="47"/>
  <c r="AC111" i="47"/>
  <c r="AF111" i="47" s="1"/>
  <c r="AB111" i="47"/>
  <c r="AG111" i="47"/>
  <c r="AD111" i="47"/>
  <c r="AB181" i="47"/>
  <c r="AC181" i="47"/>
  <c r="AF181" i="47" s="1"/>
  <c r="AD181" i="47"/>
  <c r="AG181" i="47"/>
  <c r="AB271" i="47"/>
  <c r="AC271" i="47"/>
  <c r="AF271" i="47" s="1"/>
  <c r="AD271" i="47"/>
  <c r="AG271" i="47"/>
  <c r="AC290" i="47"/>
  <c r="AF290" i="47" s="1"/>
  <c r="AD290" i="47"/>
  <c r="AG290" i="47"/>
  <c r="AB290" i="47"/>
  <c r="AC394" i="47"/>
  <c r="AF394" i="47" s="1"/>
  <c r="AG394" i="47"/>
  <c r="AB394" i="47"/>
  <c r="AD394" i="47"/>
  <c r="AD406" i="47"/>
  <c r="AG406" i="47"/>
  <c r="AC406" i="47"/>
  <c r="AF406" i="47" s="1"/>
  <c r="AB406" i="47"/>
  <c r="AC428" i="47"/>
  <c r="AF428" i="47" s="1"/>
  <c r="AG428" i="47"/>
  <c r="AB428" i="47"/>
  <c r="AD428" i="47"/>
  <c r="AD75" i="47"/>
  <c r="AC75" i="47"/>
  <c r="AF75" i="47" s="1"/>
  <c r="AG75" i="47"/>
  <c r="AB75" i="47"/>
  <c r="AD130" i="47"/>
  <c r="AG130" i="47"/>
  <c r="AB130" i="47"/>
  <c r="AC130" i="47"/>
  <c r="AF130" i="47" s="1"/>
  <c r="AC184" i="47"/>
  <c r="AF184" i="47" s="1"/>
  <c r="AD184" i="47"/>
  <c r="AG184" i="47"/>
  <c r="AB184" i="47"/>
  <c r="AC190" i="47"/>
  <c r="AF190" i="47" s="1"/>
  <c r="AG190" i="47"/>
  <c r="AB190" i="47"/>
  <c r="AD190" i="47"/>
  <c r="AG252" i="47"/>
  <c r="AB252" i="47"/>
  <c r="AD252" i="47"/>
  <c r="AC252" i="47"/>
  <c r="AF252" i="47" s="1"/>
  <c r="AC349" i="47"/>
  <c r="AF349" i="47" s="1"/>
  <c r="AG349" i="47"/>
  <c r="AB349" i="47"/>
  <c r="AD349" i="47"/>
  <c r="AG454" i="47"/>
  <c r="AC454" i="47"/>
  <c r="AF454" i="47" s="1"/>
  <c r="AD454" i="47"/>
  <c r="AB454" i="47"/>
  <c r="AD493" i="47"/>
  <c r="AC493" i="47"/>
  <c r="AF493" i="47" s="1"/>
  <c r="AG493" i="47"/>
  <c r="AB493" i="47"/>
  <c r="AG12" i="47"/>
  <c r="AH12" i="47" s="1"/>
  <c r="AD52" i="47"/>
  <c r="AG52" i="47"/>
  <c r="AB52" i="47"/>
  <c r="AC52" i="47"/>
  <c r="AF52" i="47" s="1"/>
  <c r="AC126" i="47"/>
  <c r="AF126" i="47" s="1"/>
  <c r="AD126" i="47"/>
  <c r="AB126" i="47"/>
  <c r="AG126" i="47"/>
  <c r="AC220" i="47"/>
  <c r="AF220" i="47" s="1"/>
  <c r="AB220" i="47"/>
  <c r="AG220" i="47"/>
  <c r="AD220" i="47"/>
  <c r="AC327" i="47"/>
  <c r="AF327" i="47" s="1"/>
  <c r="AB327" i="47"/>
  <c r="AD327" i="47"/>
  <c r="AG327" i="47"/>
  <c r="AD426" i="47"/>
  <c r="AG426" i="47"/>
  <c r="AB426" i="47"/>
  <c r="AC426" i="47"/>
  <c r="AF426" i="47" s="1"/>
  <c r="AC414" i="47"/>
  <c r="AF414" i="47" s="1"/>
  <c r="AD414" i="47"/>
  <c r="AG414" i="47"/>
  <c r="AB414" i="47"/>
  <c r="AB474" i="47"/>
  <c r="AC474" i="47"/>
  <c r="AF474" i="47" s="1"/>
  <c r="AG474" i="47"/>
  <c r="AD474" i="47"/>
  <c r="AG73" i="47"/>
  <c r="AD73" i="47"/>
  <c r="AC73" i="47"/>
  <c r="AF73" i="47" s="1"/>
  <c r="AB73" i="47"/>
  <c r="AB165" i="47"/>
  <c r="AC165" i="47"/>
  <c r="AF165" i="47" s="1"/>
  <c r="AD165" i="47"/>
  <c r="AG165" i="47"/>
  <c r="AG256" i="47"/>
  <c r="AB256" i="47"/>
  <c r="AC256" i="47"/>
  <c r="AF256" i="47" s="1"/>
  <c r="AD256" i="47"/>
  <c r="AG302" i="47"/>
  <c r="AB302" i="47"/>
  <c r="AC302" i="47"/>
  <c r="AF302" i="47" s="1"/>
  <c r="AD302" i="47"/>
  <c r="AB378" i="47"/>
  <c r="AD378" i="47"/>
  <c r="AC378" i="47"/>
  <c r="AF378" i="47" s="1"/>
  <c r="AG378" i="47"/>
  <c r="AG423" i="47"/>
  <c r="AC423" i="47"/>
  <c r="AF423" i="47" s="1"/>
  <c r="AB423" i="47"/>
  <c r="AD423" i="47"/>
  <c r="AD58" i="47"/>
  <c r="AC58" i="47"/>
  <c r="AF58" i="47" s="1"/>
  <c r="AG58" i="47"/>
  <c r="AB58" i="47"/>
  <c r="AG89" i="47"/>
  <c r="AD89" i="47"/>
  <c r="AB89" i="47"/>
  <c r="AC89" i="47"/>
  <c r="AF89" i="47" s="1"/>
  <c r="AG227" i="47"/>
  <c r="AC227" i="47"/>
  <c r="AF227" i="47" s="1"/>
  <c r="AB227" i="47"/>
  <c r="AD227" i="47"/>
  <c r="AG291" i="47"/>
  <c r="AB291" i="47"/>
  <c r="AC291" i="47"/>
  <c r="AF291" i="47" s="1"/>
  <c r="AD291" i="47"/>
  <c r="AB261" i="47"/>
  <c r="AD261" i="47"/>
  <c r="AC261" i="47"/>
  <c r="AF261" i="47" s="1"/>
  <c r="AG261" i="47"/>
  <c r="AG355" i="47"/>
  <c r="AC355" i="47"/>
  <c r="AF355" i="47" s="1"/>
  <c r="AD355" i="47"/>
  <c r="AB355" i="47"/>
  <c r="AC464" i="47"/>
  <c r="AF464" i="47" s="1"/>
  <c r="AB464" i="47"/>
  <c r="AD464" i="47"/>
  <c r="AG464" i="47"/>
  <c r="AC87" i="47"/>
  <c r="AF87" i="47" s="1"/>
  <c r="AB87" i="47"/>
  <c r="AG87" i="47"/>
  <c r="AD87" i="47"/>
  <c r="AB145" i="47"/>
  <c r="AD145" i="47"/>
  <c r="AG145" i="47"/>
  <c r="AC145" i="47"/>
  <c r="AF145" i="47" s="1"/>
  <c r="AG240" i="47"/>
  <c r="AC240" i="47"/>
  <c r="AF240" i="47" s="1"/>
  <c r="AD240" i="47"/>
  <c r="AB240" i="47"/>
  <c r="AG285" i="47"/>
  <c r="AC285" i="47"/>
  <c r="AF285" i="47" s="1"/>
  <c r="AD285" i="47"/>
  <c r="AB285" i="47"/>
  <c r="AC389" i="47"/>
  <c r="AF389" i="47" s="1"/>
  <c r="AB389" i="47"/>
  <c r="AG389" i="47"/>
  <c r="AD389" i="47"/>
  <c r="AB360" i="47"/>
  <c r="AG360" i="47"/>
  <c r="AC360" i="47"/>
  <c r="AF360" i="47" s="1"/>
  <c r="AD360" i="47"/>
  <c r="AG495" i="47"/>
  <c r="AB495" i="47"/>
  <c r="AC495" i="47"/>
  <c r="AF495" i="47" s="1"/>
  <c r="AD495" i="47"/>
  <c r="AB79" i="47"/>
  <c r="AD79" i="47"/>
  <c r="AG79" i="47"/>
  <c r="AC79" i="47"/>
  <c r="AF79" i="47" s="1"/>
  <c r="AG180" i="47"/>
  <c r="AB180" i="47"/>
  <c r="AC180" i="47"/>
  <c r="AF180" i="47" s="1"/>
  <c r="AD180" i="47"/>
  <c r="AC194" i="47"/>
  <c r="AF194" i="47" s="1"/>
  <c r="AB194" i="47"/>
  <c r="AG194" i="47"/>
  <c r="AD194" i="47"/>
  <c r="AC311" i="47"/>
  <c r="AF311" i="47" s="1"/>
  <c r="AB311" i="47"/>
  <c r="AD311" i="47"/>
  <c r="AG311" i="47"/>
  <c r="AG383" i="47"/>
  <c r="AC383" i="47"/>
  <c r="AF383" i="47" s="1"/>
  <c r="AB383" i="47"/>
  <c r="AD383" i="47"/>
  <c r="AG403" i="47"/>
  <c r="AB403" i="47"/>
  <c r="AC403" i="47"/>
  <c r="AF403" i="47" s="1"/>
  <c r="AD403" i="47"/>
  <c r="AC405" i="47"/>
  <c r="AF405" i="47" s="1"/>
  <c r="AB405" i="47"/>
  <c r="AG405" i="47"/>
  <c r="AD405" i="47"/>
  <c r="AG71" i="47"/>
  <c r="AC71" i="47"/>
  <c r="AF71" i="47" s="1"/>
  <c r="AB71" i="47"/>
  <c r="AD71" i="47"/>
  <c r="AD116" i="47"/>
  <c r="AC116" i="47"/>
  <c r="AF116" i="47" s="1"/>
  <c r="AB116" i="47"/>
  <c r="AG116" i="47"/>
  <c r="AB185" i="47"/>
  <c r="AC185" i="47"/>
  <c r="AF185" i="47" s="1"/>
  <c r="AG185" i="47"/>
  <c r="AD185" i="47"/>
  <c r="AD232" i="47"/>
  <c r="AB232" i="47"/>
  <c r="AC232" i="47"/>
  <c r="AF232" i="47" s="1"/>
  <c r="AG232" i="47"/>
  <c r="AG300" i="47"/>
  <c r="AB300" i="47"/>
  <c r="AC300" i="47"/>
  <c r="AF300" i="47" s="1"/>
  <c r="AD300" i="47"/>
  <c r="AC347" i="47"/>
  <c r="AF347" i="47" s="1"/>
  <c r="AD347" i="47"/>
  <c r="AG347" i="47"/>
  <c r="AB347" i="47"/>
  <c r="AG412" i="47"/>
  <c r="AB412" i="47"/>
  <c r="AC412" i="47"/>
  <c r="AF412" i="47" s="1"/>
  <c r="AD412" i="47"/>
  <c r="AG65" i="47"/>
  <c r="AD65" i="47"/>
  <c r="AB65" i="47"/>
  <c r="AC65" i="47"/>
  <c r="AF65" i="47" s="1"/>
  <c r="AG136" i="47"/>
  <c r="AD136" i="47"/>
  <c r="AB136" i="47"/>
  <c r="AC136" i="47"/>
  <c r="AF136" i="47" s="1"/>
  <c r="AD183" i="47"/>
  <c r="AG183" i="47"/>
  <c r="AC183" i="47"/>
  <c r="AF183" i="47" s="1"/>
  <c r="AB183" i="47"/>
  <c r="AC242" i="47"/>
  <c r="AF242" i="47" s="1"/>
  <c r="AB242" i="47"/>
  <c r="AG242" i="47"/>
  <c r="AD242" i="47"/>
  <c r="AC269" i="47"/>
  <c r="AF269" i="47" s="1"/>
  <c r="AG269" i="47"/>
  <c r="AB269" i="47"/>
  <c r="AD269" i="47"/>
  <c r="AG418" i="47"/>
  <c r="AB418" i="47"/>
  <c r="AD418" i="47"/>
  <c r="AC418" i="47"/>
  <c r="AF418" i="47" s="1"/>
  <c r="AB451" i="47"/>
  <c r="AC451" i="47"/>
  <c r="AF451" i="47" s="1"/>
  <c r="AG451" i="47"/>
  <c r="AD451" i="47"/>
  <c r="AC476" i="47"/>
  <c r="AF476" i="47" s="1"/>
  <c r="AD476" i="47"/>
  <c r="AG476" i="47"/>
  <c r="AB476" i="47"/>
  <c r="AB56" i="47"/>
  <c r="AG56" i="47"/>
  <c r="AC56" i="47"/>
  <c r="AF56" i="47" s="1"/>
  <c r="AD56" i="47"/>
  <c r="AC139" i="47"/>
  <c r="AF139" i="47" s="1"/>
  <c r="AB139" i="47"/>
  <c r="AD139" i="47"/>
  <c r="AG139" i="47"/>
  <c r="AG182" i="47"/>
  <c r="AB182" i="47"/>
  <c r="AC182" i="47"/>
  <c r="AF182" i="47" s="1"/>
  <c r="AD182" i="47"/>
  <c r="AG217" i="47"/>
  <c r="AC217" i="47"/>
  <c r="AF217" i="47" s="1"/>
  <c r="AB217" i="47"/>
  <c r="AD217" i="47"/>
  <c r="AD385" i="47"/>
  <c r="AC385" i="47"/>
  <c r="AF385" i="47" s="1"/>
  <c r="AG385" i="47"/>
  <c r="AB385" i="47"/>
  <c r="AD305" i="47"/>
  <c r="AB305" i="47"/>
  <c r="AC305" i="47"/>
  <c r="AF305" i="47" s="1"/>
  <c r="AG305" i="47"/>
  <c r="AG438" i="47"/>
  <c r="AB438" i="47"/>
  <c r="AC438" i="47"/>
  <c r="AF438" i="47" s="1"/>
  <c r="AD438" i="47"/>
  <c r="AG479" i="47"/>
  <c r="AD479" i="47"/>
  <c r="AC479" i="47"/>
  <c r="AF479" i="47" s="1"/>
  <c r="AB479" i="47"/>
  <c r="AD74" i="47"/>
  <c r="AG74" i="47"/>
  <c r="AB74" i="47"/>
  <c r="AC74" i="47"/>
  <c r="AF74" i="47" s="1"/>
  <c r="AG138" i="47"/>
  <c r="AB138" i="47"/>
  <c r="AC138" i="47"/>
  <c r="AF138" i="47" s="1"/>
  <c r="AD138" i="47"/>
  <c r="AD275" i="47"/>
  <c r="AG275" i="47"/>
  <c r="AB275" i="47"/>
  <c r="AC275" i="47"/>
  <c r="AF275" i="47" s="1"/>
  <c r="AB266" i="47"/>
  <c r="AD266" i="47"/>
  <c r="AG266" i="47"/>
  <c r="AC266" i="47"/>
  <c r="AF266" i="47" s="1"/>
  <c r="AB344" i="47"/>
  <c r="AG344" i="47"/>
  <c r="AC344" i="47"/>
  <c r="AF344" i="47" s="1"/>
  <c r="AD344" i="47"/>
  <c r="AD460" i="47"/>
  <c r="AG460" i="47"/>
  <c r="AB460" i="47"/>
  <c r="AC460" i="47"/>
  <c r="AF460" i="47" s="1"/>
  <c r="AG491" i="47"/>
  <c r="AD491" i="47"/>
  <c r="AC491" i="47"/>
  <c r="AF491" i="47" s="1"/>
  <c r="AB491" i="47"/>
  <c r="AD112" i="47"/>
  <c r="AC112" i="47"/>
  <c r="AF112" i="47" s="1"/>
  <c r="AB112" i="47"/>
  <c r="AG112" i="47"/>
  <c r="AC161" i="47"/>
  <c r="AF161" i="47" s="1"/>
  <c r="AG161" i="47"/>
  <c r="AB161" i="47"/>
  <c r="AD161" i="47"/>
  <c r="AC175" i="47"/>
  <c r="AF175" i="47" s="1"/>
  <c r="AB175" i="47"/>
  <c r="AG175" i="47"/>
  <c r="AD175" i="47"/>
  <c r="AG251" i="47"/>
  <c r="AB251" i="47"/>
  <c r="AC251" i="47"/>
  <c r="AF251" i="47" s="1"/>
  <c r="AD251" i="47"/>
  <c r="AB354" i="47"/>
  <c r="AD354" i="47"/>
  <c r="AC354" i="47"/>
  <c r="AF354" i="47" s="1"/>
  <c r="AG354" i="47"/>
  <c r="AC456" i="47"/>
  <c r="AF456" i="47" s="1"/>
  <c r="AB456" i="47"/>
  <c r="AD456" i="47"/>
  <c r="AG456" i="47"/>
  <c r="AC104" i="47"/>
  <c r="AF104" i="47" s="1"/>
  <c r="AD104" i="47"/>
  <c r="AG104" i="47"/>
  <c r="AB104" i="47"/>
  <c r="AG137" i="47"/>
  <c r="AC137" i="47"/>
  <c r="AF137" i="47" s="1"/>
  <c r="AD137" i="47"/>
  <c r="AB137" i="47"/>
  <c r="AG198" i="47"/>
  <c r="AD198" i="47"/>
  <c r="AB198" i="47"/>
  <c r="AC198" i="47"/>
  <c r="AF198" i="47" s="1"/>
  <c r="AD286" i="47"/>
  <c r="AG286" i="47"/>
  <c r="AC286" i="47"/>
  <c r="AF286" i="47" s="1"/>
  <c r="AB286" i="47"/>
  <c r="AC282" i="47"/>
  <c r="AF282" i="47" s="1"/>
  <c r="AD282" i="47"/>
  <c r="AB282" i="47"/>
  <c r="AG282" i="47"/>
  <c r="AC341" i="47"/>
  <c r="AF341" i="47" s="1"/>
  <c r="AD341" i="47"/>
  <c r="AG341" i="47"/>
  <c r="AB341" i="47"/>
  <c r="AG494" i="47"/>
  <c r="AD494" i="47"/>
  <c r="AB494" i="47"/>
  <c r="AC494" i="47"/>
  <c r="AF494" i="47" s="1"/>
  <c r="AD101" i="47"/>
  <c r="AG101" i="47"/>
  <c r="AB101" i="47"/>
  <c r="AC101" i="47"/>
  <c r="AF101" i="47" s="1"/>
  <c r="AG147" i="47"/>
  <c r="AC147" i="47"/>
  <c r="AF147" i="47" s="1"/>
  <c r="AD147" i="47"/>
  <c r="AB147" i="47"/>
  <c r="AD208" i="47"/>
  <c r="AC208" i="47"/>
  <c r="AF208" i="47" s="1"/>
  <c r="AB208" i="47"/>
  <c r="AG208" i="47"/>
  <c r="AD276" i="47"/>
  <c r="AC276" i="47"/>
  <c r="AF276" i="47" s="1"/>
  <c r="AG276" i="47"/>
  <c r="AB276" i="47"/>
  <c r="AD372" i="47"/>
  <c r="AC372" i="47"/>
  <c r="AF372" i="47" s="1"/>
  <c r="AB372" i="47"/>
  <c r="AG372" i="47"/>
  <c r="AD485" i="47"/>
  <c r="AB485" i="47"/>
  <c r="AG485" i="47"/>
  <c r="AC485" i="47"/>
  <c r="AF485" i="47" s="1"/>
  <c r="AC62" i="47"/>
  <c r="AF62" i="47" s="1"/>
  <c r="AD62" i="47"/>
  <c r="AG62" i="47"/>
  <c r="AB62" i="47"/>
  <c r="AG100" i="47"/>
  <c r="AC100" i="47"/>
  <c r="AF100" i="47" s="1"/>
  <c r="AB100" i="47"/>
  <c r="AD100" i="47"/>
  <c r="AB197" i="47"/>
  <c r="AG197" i="47"/>
  <c r="AD197" i="47"/>
  <c r="AC197" i="47"/>
  <c r="AF197" i="47" s="1"/>
  <c r="AG233" i="47"/>
  <c r="AB233" i="47"/>
  <c r="AD233" i="47"/>
  <c r="AC233" i="47"/>
  <c r="AF233" i="47" s="1"/>
  <c r="AB343" i="47"/>
  <c r="AC343" i="47"/>
  <c r="AF343" i="47" s="1"/>
  <c r="AD343" i="47"/>
  <c r="AG343" i="47"/>
  <c r="AD416" i="47"/>
  <c r="AB416" i="47"/>
  <c r="AG416" i="47"/>
  <c r="AC416" i="47"/>
  <c r="AF416" i="47" s="1"/>
  <c r="AG350" i="47"/>
  <c r="AD350" i="47"/>
  <c r="AB350" i="47"/>
  <c r="AC350" i="47"/>
  <c r="AF350" i="47" s="1"/>
  <c r="AB481" i="47"/>
  <c r="AG481" i="47"/>
  <c r="AC481" i="47"/>
  <c r="AF481" i="47" s="1"/>
  <c r="AD481" i="47"/>
  <c r="AC88" i="47"/>
  <c r="AF88" i="47" s="1"/>
  <c r="AD88" i="47"/>
  <c r="AG88" i="47"/>
  <c r="AB88" i="47"/>
  <c r="AB164" i="47"/>
  <c r="AD164" i="47"/>
  <c r="AG164" i="47"/>
  <c r="AC164" i="47"/>
  <c r="AF164" i="47" s="1"/>
  <c r="AB215" i="47"/>
  <c r="AC215" i="47"/>
  <c r="AF215" i="47" s="1"/>
  <c r="AG215" i="47"/>
  <c r="AD215" i="47"/>
  <c r="AB279" i="47"/>
  <c r="AC279" i="47"/>
  <c r="AF279" i="47" s="1"/>
  <c r="AD279" i="47"/>
  <c r="AG279" i="47"/>
  <c r="AB334" i="47"/>
  <c r="AD334" i="47"/>
  <c r="AG334" i="47"/>
  <c r="AC334" i="47"/>
  <c r="AF334" i="47" s="1"/>
  <c r="AC371" i="47"/>
  <c r="AF371" i="47" s="1"/>
  <c r="AD371" i="47"/>
  <c r="AG371" i="47"/>
  <c r="AB371" i="47"/>
  <c r="AG467" i="47"/>
  <c r="AD467" i="47"/>
  <c r="AC467" i="47"/>
  <c r="AF467" i="47" s="1"/>
  <c r="AB467" i="47"/>
  <c r="AB64" i="47"/>
  <c r="AG64" i="47"/>
  <c r="AC64" i="47"/>
  <c r="AF64" i="47" s="1"/>
  <c r="AD64" i="47"/>
  <c r="AD105" i="47"/>
  <c r="AB105" i="47"/>
  <c r="AG105" i="47"/>
  <c r="AC105" i="47"/>
  <c r="AF105" i="47" s="1"/>
  <c r="AG179" i="47"/>
  <c r="AH179" i="47" s="1"/>
  <c r="AB179" i="47"/>
  <c r="AD179" i="47"/>
  <c r="AC179" i="47"/>
  <c r="AF179" i="47" s="1"/>
  <c r="AG280" i="47"/>
  <c r="AC280" i="47"/>
  <c r="AF280" i="47" s="1"/>
  <c r="AD280" i="47"/>
  <c r="AB280" i="47"/>
  <c r="AB296" i="47"/>
  <c r="AD296" i="47"/>
  <c r="AG296" i="47"/>
  <c r="AC296" i="47"/>
  <c r="AF296" i="47" s="1"/>
  <c r="AB366" i="47"/>
  <c r="AD366" i="47"/>
  <c r="AG366" i="47"/>
  <c r="AC366" i="47"/>
  <c r="AF366" i="47" s="1"/>
  <c r="AG446" i="47"/>
  <c r="AB446" i="47"/>
  <c r="AC446" i="47"/>
  <c r="AF446" i="47" s="1"/>
  <c r="AD446" i="47"/>
  <c r="AD458" i="47"/>
  <c r="AB458" i="47"/>
  <c r="AG458" i="47"/>
  <c r="AC458" i="47"/>
  <c r="AF458" i="47" s="1"/>
  <c r="AB98" i="47"/>
  <c r="AC98" i="47"/>
  <c r="AF98" i="47" s="1"/>
  <c r="AD98" i="47"/>
  <c r="AG98" i="47"/>
  <c r="AG133" i="47"/>
  <c r="AB133" i="47"/>
  <c r="AC133" i="47"/>
  <c r="AF133" i="47" s="1"/>
  <c r="AD133" i="47"/>
  <c r="AB206" i="47"/>
  <c r="AD206" i="47"/>
  <c r="AG206" i="47"/>
  <c r="AC206" i="47"/>
  <c r="AF206" i="47" s="1"/>
  <c r="AD267" i="47"/>
  <c r="AG267" i="47"/>
  <c r="AB267" i="47"/>
  <c r="AC267" i="47"/>
  <c r="AF267" i="47" s="1"/>
  <c r="AB358" i="47"/>
  <c r="AC358" i="47"/>
  <c r="AF358" i="47" s="1"/>
  <c r="AD358" i="47"/>
  <c r="AG358" i="47"/>
  <c r="AD362" i="47"/>
  <c r="AG362" i="47"/>
  <c r="AC362" i="47"/>
  <c r="AF362" i="47" s="1"/>
  <c r="AB362" i="47"/>
  <c r="AG419" i="47"/>
  <c r="AB419" i="47"/>
  <c r="AC419" i="47"/>
  <c r="AF419" i="47" s="1"/>
  <c r="AD419" i="47"/>
  <c r="AG475" i="47"/>
  <c r="AC475" i="47"/>
  <c r="AF475" i="47" s="1"/>
  <c r="AD475" i="47"/>
  <c r="AB475" i="47"/>
  <c r="AD67" i="47"/>
  <c r="AG67" i="47"/>
  <c r="AB67" i="47"/>
  <c r="AC67" i="47"/>
  <c r="AF67" i="47" s="1"/>
  <c r="AG134" i="47"/>
  <c r="AH134" i="47" s="1"/>
  <c r="AB134" i="47"/>
  <c r="AC134" i="47"/>
  <c r="AF134" i="47" s="1"/>
  <c r="AD134" i="47"/>
  <c r="AG213" i="47"/>
  <c r="AD213" i="47"/>
  <c r="AB213" i="47"/>
  <c r="AC213" i="47"/>
  <c r="AF213" i="47" s="1"/>
  <c r="AB241" i="47"/>
  <c r="AC241" i="47"/>
  <c r="AF241" i="47" s="1"/>
  <c r="AD241" i="47"/>
  <c r="AG241" i="47"/>
  <c r="AB357" i="47"/>
  <c r="AD357" i="47"/>
  <c r="AG357" i="47"/>
  <c r="AC357" i="47"/>
  <c r="AF357" i="47" s="1"/>
  <c r="AC430" i="47"/>
  <c r="AF430" i="47" s="1"/>
  <c r="AD430" i="47"/>
  <c r="AG430" i="47"/>
  <c r="AB430" i="47"/>
  <c r="AG471" i="47"/>
  <c r="AB471" i="47"/>
  <c r="AD471" i="47"/>
  <c r="AC471" i="47"/>
  <c r="AF471" i="47" s="1"/>
  <c r="AG118" i="47"/>
  <c r="AC118" i="47"/>
  <c r="AF118" i="47" s="1"/>
  <c r="AD118" i="47"/>
  <c r="AB118" i="47"/>
  <c r="AG196" i="47"/>
  <c r="AC196" i="47"/>
  <c r="AF196" i="47" s="1"/>
  <c r="AB196" i="47"/>
  <c r="AD196" i="47"/>
  <c r="AG262" i="47"/>
  <c r="AD262" i="47"/>
  <c r="AB262" i="47"/>
  <c r="AC262" i="47"/>
  <c r="AF262" i="47" s="1"/>
  <c r="AB367" i="47"/>
  <c r="AD367" i="47"/>
  <c r="AG367" i="47"/>
  <c r="AC367" i="47"/>
  <c r="AF367" i="47" s="1"/>
  <c r="AB328" i="47"/>
  <c r="AD328" i="47"/>
  <c r="AG328" i="47"/>
  <c r="AC328" i="47"/>
  <c r="AF328" i="47" s="1"/>
  <c r="AB463" i="47"/>
  <c r="AC463" i="47"/>
  <c r="AF463" i="47" s="1"/>
  <c r="AG463" i="47"/>
  <c r="AD463" i="47"/>
  <c r="AB109" i="47"/>
  <c r="AC109" i="47"/>
  <c r="AF109" i="47" s="1"/>
  <c r="AD109" i="47"/>
  <c r="AG109" i="47"/>
  <c r="AC143" i="47"/>
  <c r="AF143" i="47" s="1"/>
  <c r="AG143" i="47"/>
  <c r="AD143" i="47"/>
  <c r="AB143" i="47"/>
  <c r="AC230" i="47"/>
  <c r="AF230" i="47" s="1"/>
  <c r="AD230" i="47"/>
  <c r="AG230" i="47"/>
  <c r="AB230" i="47"/>
  <c r="AG315" i="47"/>
  <c r="AC315" i="47"/>
  <c r="AF315" i="47" s="1"/>
  <c r="AD315" i="47"/>
  <c r="AB315" i="47"/>
  <c r="AB376" i="47"/>
  <c r="AD376" i="47"/>
  <c r="AG376" i="47"/>
  <c r="AC376" i="47"/>
  <c r="AF376" i="47" s="1"/>
  <c r="AG303" i="47"/>
  <c r="AC303" i="47"/>
  <c r="AF303" i="47" s="1"/>
  <c r="AB303" i="47"/>
  <c r="AD303" i="47"/>
  <c r="AG437" i="47"/>
  <c r="AB437" i="47"/>
  <c r="AD437" i="47"/>
  <c r="AC437" i="47"/>
  <c r="AF437" i="47" s="1"/>
  <c r="AG110" i="47"/>
  <c r="AC110" i="47"/>
  <c r="AF110" i="47" s="1"/>
  <c r="AB110" i="47"/>
  <c r="AD110" i="47"/>
  <c r="AG156" i="47"/>
  <c r="AB156" i="47"/>
  <c r="AC156" i="47"/>
  <c r="AF156" i="47" s="1"/>
  <c r="AD156" i="47"/>
  <c r="AB186" i="47"/>
  <c r="AG186" i="47"/>
  <c r="AD186" i="47"/>
  <c r="AC186" i="47"/>
  <c r="AF186" i="47" s="1"/>
  <c r="AD243" i="47"/>
  <c r="AB243" i="47"/>
  <c r="AC243" i="47"/>
  <c r="AF243" i="47" s="1"/>
  <c r="AG243" i="47"/>
  <c r="AB338" i="47"/>
  <c r="AD338" i="47"/>
  <c r="AC338" i="47"/>
  <c r="AF338" i="47" s="1"/>
  <c r="AG338" i="47"/>
  <c r="AB413" i="47"/>
  <c r="AD413" i="47"/>
  <c r="AG413" i="47"/>
  <c r="AC413" i="47"/>
  <c r="AF413" i="47" s="1"/>
  <c r="AG63" i="47"/>
  <c r="AB63" i="47"/>
  <c r="AC63" i="47"/>
  <c r="AF63" i="47" s="1"/>
  <c r="AD63" i="47"/>
  <c r="AC117" i="47"/>
  <c r="AF117" i="47" s="1"/>
  <c r="AD117" i="47"/>
  <c r="AG117" i="47"/>
  <c r="AB117" i="47"/>
  <c r="AC224" i="47"/>
  <c r="AF224" i="47" s="1"/>
  <c r="AB224" i="47"/>
  <c r="AG224" i="47"/>
  <c r="AD224" i="47"/>
  <c r="AC278" i="47"/>
  <c r="AF278" i="47" s="1"/>
  <c r="AG278" i="47"/>
  <c r="AD278" i="47"/>
  <c r="AB278" i="47"/>
  <c r="AC277" i="47"/>
  <c r="AF277" i="47" s="1"/>
  <c r="AG277" i="47"/>
  <c r="AB277" i="47"/>
  <c r="AD277" i="47"/>
  <c r="AG368" i="47"/>
  <c r="AD368" i="47"/>
  <c r="AB368" i="47"/>
  <c r="AC368" i="47"/>
  <c r="AF368" i="47" s="1"/>
  <c r="AG399" i="47"/>
  <c r="AB399" i="47"/>
  <c r="AD399" i="47"/>
  <c r="AC399" i="47"/>
  <c r="AF399" i="47" s="1"/>
  <c r="AG462" i="47"/>
  <c r="AB462" i="47"/>
  <c r="AC462" i="47"/>
  <c r="AF462" i="47" s="1"/>
  <c r="AD462" i="47"/>
  <c r="AB60" i="47"/>
  <c r="AC60" i="47"/>
  <c r="AF60" i="47" s="1"/>
  <c r="AD60" i="47"/>
  <c r="AG60" i="47"/>
  <c r="AC113" i="47"/>
  <c r="AF113" i="47" s="1"/>
  <c r="AD113" i="47"/>
  <c r="AG113" i="47"/>
  <c r="AB113" i="47"/>
  <c r="AB189" i="47"/>
  <c r="AG189" i="47"/>
  <c r="AD189" i="47"/>
  <c r="AC189" i="47"/>
  <c r="AF189" i="47" s="1"/>
  <c r="AD314" i="47"/>
  <c r="AG314" i="47"/>
  <c r="AB314" i="47"/>
  <c r="AC314" i="47"/>
  <c r="AF314" i="47" s="1"/>
  <c r="AG420" i="47"/>
  <c r="AB420" i="47"/>
  <c r="AD420" i="47"/>
  <c r="AC420" i="47"/>
  <c r="AF420" i="47" s="1"/>
  <c r="AC396" i="47"/>
  <c r="AF396" i="47" s="1"/>
  <c r="AD396" i="47"/>
  <c r="AG396" i="47"/>
  <c r="AB396" i="47"/>
  <c r="AD452" i="47"/>
  <c r="AB452" i="47"/>
  <c r="AG452" i="47"/>
  <c r="AC452" i="47"/>
  <c r="AF452" i="47" s="1"/>
  <c r="AB106" i="47"/>
  <c r="AC106" i="47"/>
  <c r="AF106" i="47" s="1"/>
  <c r="AD106" i="47"/>
  <c r="AG106" i="47"/>
  <c r="AC140" i="47"/>
  <c r="AF140" i="47" s="1"/>
  <c r="AG140" i="47"/>
  <c r="AD140" i="47"/>
  <c r="AB140" i="47"/>
  <c r="AD174" i="47"/>
  <c r="AB174" i="47"/>
  <c r="AC174" i="47"/>
  <c r="AF174" i="47" s="1"/>
  <c r="AG174" i="47"/>
  <c r="AG289" i="47"/>
  <c r="AB289" i="47"/>
  <c r="AC289" i="47"/>
  <c r="AF289" i="47" s="1"/>
  <c r="AD289" i="47"/>
  <c r="AC359" i="47"/>
  <c r="AF359" i="47" s="1"/>
  <c r="AB359" i="47"/>
  <c r="AD359" i="47"/>
  <c r="AG359" i="47"/>
  <c r="AB336" i="47"/>
  <c r="AC336" i="47"/>
  <c r="AF336" i="47" s="1"/>
  <c r="AG336" i="47"/>
  <c r="AD336" i="47"/>
  <c r="AC424" i="47"/>
  <c r="AF424" i="47" s="1"/>
  <c r="AB424" i="47"/>
  <c r="AD424" i="47"/>
  <c r="AG424" i="47"/>
  <c r="AG483" i="47"/>
  <c r="AH483" i="47" s="1"/>
  <c r="AD483" i="47"/>
  <c r="AC483" i="47"/>
  <c r="AF483" i="47" s="1"/>
  <c r="AB483" i="47"/>
  <c r="AD107" i="47"/>
  <c r="AG107" i="47"/>
  <c r="AB107" i="47"/>
  <c r="AC107" i="47"/>
  <c r="AF107" i="47" s="1"/>
  <c r="AB148" i="47"/>
  <c r="AC148" i="47"/>
  <c r="AF148" i="47" s="1"/>
  <c r="AD148" i="47"/>
  <c r="AG148" i="47"/>
  <c r="AB228" i="47"/>
  <c r="AG228" i="47"/>
  <c r="AD228" i="47"/>
  <c r="AC228" i="47"/>
  <c r="AF228" i="47" s="1"/>
  <c r="AD248" i="47"/>
  <c r="AG248" i="47"/>
  <c r="AC248" i="47"/>
  <c r="AF248" i="47" s="1"/>
  <c r="AB248" i="47"/>
  <c r="AG340" i="47"/>
  <c r="AD340" i="47"/>
  <c r="AC340" i="47"/>
  <c r="AF340" i="47" s="1"/>
  <c r="AB340" i="47"/>
  <c r="AB322" i="47"/>
  <c r="AD322" i="47"/>
  <c r="AC322" i="47"/>
  <c r="AF322" i="47" s="1"/>
  <c r="AG322" i="47"/>
  <c r="AG445" i="47"/>
  <c r="AD445" i="47"/>
  <c r="AB445" i="47"/>
  <c r="AC445" i="47"/>
  <c r="AF445" i="47" s="1"/>
  <c r="AD35" i="47"/>
  <c r="AC30" i="47"/>
  <c r="AF30" i="47" s="1"/>
  <c r="AG35" i="47"/>
  <c r="AH35" i="47" s="1"/>
  <c r="AC3" i="47"/>
  <c r="AF3" i="47" s="1"/>
  <c r="AG3" i="47"/>
  <c r="AH3" i="47" s="1"/>
  <c r="AD23" i="47"/>
  <c r="AC33" i="47"/>
  <c r="AF33" i="47" s="1"/>
  <c r="AD33" i="47"/>
  <c r="AD30" i="47"/>
  <c r="AC9" i="47"/>
  <c r="AF9" i="47" s="1"/>
  <c r="AD48" i="47"/>
  <c r="AI44" i="47"/>
  <c r="AG29" i="47"/>
  <c r="AH29" i="47" s="1"/>
  <c r="AB29" i="47"/>
  <c r="AH51" i="47"/>
  <c r="AC48" i="47"/>
  <c r="AF48" i="47" s="1"/>
  <c r="AB40" i="47"/>
  <c r="AI40" i="47" s="1"/>
  <c r="AI48" i="47"/>
  <c r="AB51" i="47"/>
  <c r="AC11" i="47"/>
  <c r="AF11" i="47" s="1"/>
  <c r="AC27" i="47"/>
  <c r="AF27" i="47" s="1"/>
  <c r="AD40" i="47"/>
  <c r="AC19" i="47"/>
  <c r="AF19" i="47" s="1"/>
  <c r="AD20" i="47"/>
  <c r="AG11" i="47"/>
  <c r="AH11" i="47" s="1"/>
  <c r="AC22" i="47"/>
  <c r="AF22" i="47" s="1"/>
  <c r="AD11" i="47"/>
  <c r="AG20" i="47"/>
  <c r="AH20" i="47" s="1"/>
  <c r="AB26" i="47"/>
  <c r="AB27" i="47"/>
  <c r="AC42" i="47"/>
  <c r="AF42" i="47" s="1"/>
  <c r="AD42" i="47"/>
  <c r="AG42" i="47"/>
  <c r="AD27" i="47"/>
  <c r="AB33" i="47"/>
  <c r="AC39" i="47"/>
  <c r="AF39" i="47" s="1"/>
  <c r="AG39" i="47"/>
  <c r="AB39" i="47"/>
  <c r="AB8" i="47"/>
  <c r="AD8" i="47"/>
  <c r="AD22" i="47"/>
  <c r="AB18" i="47"/>
  <c r="AC46" i="47"/>
  <c r="AF46" i="47" s="1"/>
  <c r="AD46" i="47"/>
  <c r="AG46" i="47"/>
  <c r="AG49" i="47"/>
  <c r="AD49" i="47"/>
  <c r="AC49" i="47"/>
  <c r="AF49" i="47" s="1"/>
  <c r="AB9" i="47"/>
  <c r="AC43" i="47"/>
  <c r="AF43" i="47" s="1"/>
  <c r="AD43" i="47"/>
  <c r="AG43" i="47"/>
  <c r="AB43" i="47"/>
  <c r="AD39" i="47"/>
  <c r="AC8" i="47"/>
  <c r="AF8" i="47" s="1"/>
  <c r="AD2" i="47"/>
  <c r="AG45" i="47"/>
  <c r="AC45" i="47"/>
  <c r="AF45" i="47" s="1"/>
  <c r="AD45" i="47"/>
  <c r="AC38" i="47"/>
  <c r="AF38" i="47" s="1"/>
  <c r="AG38" i="47"/>
  <c r="AC47" i="47"/>
  <c r="AF47" i="47" s="1"/>
  <c r="AD47" i="47"/>
  <c r="AG47" i="47"/>
  <c r="AB47" i="47"/>
  <c r="AH50" i="47"/>
  <c r="AB38" i="47"/>
  <c r="AG41" i="47"/>
  <c r="AC41" i="47"/>
  <c r="AF41" i="47" s="1"/>
  <c r="AD41" i="47"/>
  <c r="AB42" i="47"/>
  <c r="AG26" i="47"/>
  <c r="AH26" i="47" s="1"/>
  <c r="AC26" i="47"/>
  <c r="AF26" i="47" s="1"/>
  <c r="AB31" i="47"/>
  <c r="AB22" i="47"/>
  <c r="AB20" i="47"/>
  <c r="AD17" i="47"/>
  <c r="AG17" i="47"/>
  <c r="AH17" i="47" s="1"/>
  <c r="AD4" i="47"/>
  <c r="AD7" i="47"/>
  <c r="AC28" i="47"/>
  <c r="AF28" i="47" s="1"/>
  <c r="AG23" i="47"/>
  <c r="AH23" i="47" s="1"/>
  <c r="AB23" i="47"/>
  <c r="AG18" i="47"/>
  <c r="AH18" i="47" s="1"/>
  <c r="AC18" i="47"/>
  <c r="AF18" i="47" s="1"/>
  <c r="AD36" i="47"/>
  <c r="AB30" i="47"/>
  <c r="AB36" i="47"/>
  <c r="AB34" i="47"/>
  <c r="AG34" i="47"/>
  <c r="AH34" i="47" s="1"/>
  <c r="AG24" i="47"/>
  <c r="AH24" i="47" s="1"/>
  <c r="AD24" i="47"/>
  <c r="AC17" i="47"/>
  <c r="AF17" i="47" s="1"/>
  <c r="AC36" i="47"/>
  <c r="AF36" i="47" s="1"/>
  <c r="AD21" i="47"/>
  <c r="AG21" i="47"/>
  <c r="AH21" i="47" s="1"/>
  <c r="AB21" i="47"/>
  <c r="AC31" i="47"/>
  <c r="AF31" i="47" s="1"/>
  <c r="AC24" i="47"/>
  <c r="AF24" i="47" s="1"/>
  <c r="AD32" i="47"/>
  <c r="AC21" i="47"/>
  <c r="AF21" i="47" s="1"/>
  <c r="AB28" i="47"/>
  <c r="AD5" i="47"/>
  <c r="AG5" i="47"/>
  <c r="AH5" i="47" s="1"/>
  <c r="AC2" i="47"/>
  <c r="AF2" i="47" s="1"/>
  <c r="AG2" i="47"/>
  <c r="AH2" i="47" s="1"/>
  <c r="AB14" i="47"/>
  <c r="AG14" i="47"/>
  <c r="AH14" i="47" s="1"/>
  <c r="AB17" i="47"/>
  <c r="AG4" i="47"/>
  <c r="AH4" i="47" s="1"/>
  <c r="AC7" i="47"/>
  <c r="AF7" i="47" s="1"/>
  <c r="AB6" i="47"/>
  <c r="AG6" i="47"/>
  <c r="AH6" i="47" s="1"/>
  <c r="AC6" i="47"/>
  <c r="AF6" i="47" s="1"/>
  <c r="AD34" i="47"/>
  <c r="AD28" i="47"/>
  <c r="AG32" i="47"/>
  <c r="AH32" i="47" s="1"/>
  <c r="AC32" i="47"/>
  <c r="AF32" i="47" s="1"/>
  <c r="AD10" i="47"/>
  <c r="AG10" i="47"/>
  <c r="AH10" i="47" s="1"/>
  <c r="AC34" i="47"/>
  <c r="AF34" i="47" s="1"/>
  <c r="AB7" i="47"/>
  <c r="AD14" i="47"/>
  <c r="AG37" i="47"/>
  <c r="AC37" i="47"/>
  <c r="AF37" i="47" s="1"/>
  <c r="AD31" i="47"/>
  <c r="AD13" i="47"/>
  <c r="AG13" i="47"/>
  <c r="AH13" i="47" s="1"/>
  <c r="AC13" i="47"/>
  <c r="AF13" i="47" s="1"/>
  <c r="AB37" i="47"/>
  <c r="AB4" i="47"/>
  <c r="AB25" i="47"/>
  <c r="AB12" i="47"/>
  <c r="AS2" i="47"/>
  <c r="AU2" i="47"/>
  <c r="AR2" i="47"/>
  <c r="AQ3" i="47"/>
  <c r="S2" i="26"/>
  <c r="T2" i="26" s="1"/>
  <c r="F4" i="17"/>
  <c r="F5" i="17"/>
  <c r="D6" i="17"/>
  <c r="E4" i="17"/>
  <c r="E6" i="17"/>
  <c r="AN22" i="21"/>
  <c r="AN18" i="21"/>
  <c r="AN14" i="21"/>
  <c r="AM14" i="21"/>
  <c r="AN10" i="21"/>
  <c r="AN6" i="21"/>
  <c r="AM6" i="21"/>
  <c r="AM25" i="21"/>
  <c r="AN25" i="21"/>
  <c r="AJ31" i="21" s="1"/>
  <c r="AN21" i="21"/>
  <c r="AM21" i="21"/>
  <c r="AN17" i="21"/>
  <c r="AN13" i="21"/>
  <c r="AN9" i="21"/>
  <c r="AN5" i="21"/>
  <c r="AN24" i="21"/>
  <c r="AM20" i="21"/>
  <c r="AN20" i="21"/>
  <c r="AN16" i="21"/>
  <c r="AN12" i="21"/>
  <c r="AM12" i="21"/>
  <c r="AN8" i="21"/>
  <c r="AM8" i="21"/>
  <c r="AN23" i="21"/>
  <c r="AN19" i="21"/>
  <c r="AM19" i="21"/>
  <c r="AN15" i="21"/>
  <c r="AN11" i="21"/>
  <c r="AN7" i="21"/>
  <c r="AN4" i="21"/>
  <c r="AJ27" i="21" l="1"/>
  <c r="AJ29" i="21"/>
  <c r="AJ26" i="21"/>
  <c r="AJ28" i="21"/>
  <c r="AJ30" i="21"/>
  <c r="S4" i="22"/>
  <c r="AI29" i="21"/>
  <c r="AI41" i="21"/>
  <c r="AI32" i="21"/>
  <c r="AI38" i="21"/>
  <c r="AI35" i="21"/>
  <c r="AI44" i="21"/>
  <c r="AI30" i="21"/>
  <c r="AI36" i="21"/>
  <c r="AI42" i="21"/>
  <c r="AI33" i="21"/>
  <c r="AI31" i="21"/>
  <c r="AI43" i="21"/>
  <c r="AI34" i="21"/>
  <c r="AI37" i="21"/>
  <c r="AI26" i="21"/>
  <c r="AI28" i="21"/>
  <c r="AI40" i="21"/>
  <c r="AI27" i="21"/>
  <c r="AI39" i="21"/>
  <c r="AJ51" i="47"/>
  <c r="AI501" i="47"/>
  <c r="AI270" i="47"/>
  <c r="AI50" i="47"/>
  <c r="AK142" i="47"/>
  <c r="AK401" i="47"/>
  <c r="AK53" i="47"/>
  <c r="AK408" i="47"/>
  <c r="AK319" i="47"/>
  <c r="AK237" i="47"/>
  <c r="AK123" i="47"/>
  <c r="AK95" i="47"/>
  <c r="AJ52" i="47"/>
  <c r="AK280" i="47"/>
  <c r="AK282" i="47"/>
  <c r="AK439" i="47"/>
  <c r="AK120" i="47"/>
  <c r="AK345" i="47"/>
  <c r="AK199" i="47"/>
  <c r="AK230" i="47"/>
  <c r="AK169" i="47"/>
  <c r="AI264" i="47"/>
  <c r="S3" i="26"/>
  <c r="AD3" i="21"/>
  <c r="AB1" i="21" s="1"/>
  <c r="AB3" i="21"/>
  <c r="AB4" i="21" s="1"/>
  <c r="AB5" i="21" s="1"/>
  <c r="AB6" i="21" s="1"/>
  <c r="AB7" i="21" s="1"/>
  <c r="AB8" i="21" s="1"/>
  <c r="AB9" i="21" s="1"/>
  <c r="AB10" i="21" s="1"/>
  <c r="AB11" i="21" s="1"/>
  <c r="AB12" i="21" s="1"/>
  <c r="AB13" i="21" s="1"/>
  <c r="AB14" i="21" s="1"/>
  <c r="AB15" i="21" s="1"/>
  <c r="AB16" i="21" s="1"/>
  <c r="AB17" i="21" s="1"/>
  <c r="AB18" i="21" s="1"/>
  <c r="AB19" i="21" s="1"/>
  <c r="AB20" i="21" s="1"/>
  <c r="AB21" i="21" s="1"/>
  <c r="AB22" i="21" s="1"/>
  <c r="AB23" i="21" s="1"/>
  <c r="AB24" i="21" s="1"/>
  <c r="AB25" i="21" s="1"/>
  <c r="AB26" i="21" s="1"/>
  <c r="B38" i="49"/>
  <c r="C39" i="49"/>
  <c r="H38" i="49"/>
  <c r="D37" i="49"/>
  <c r="E37" i="49" s="1"/>
  <c r="I37" i="49"/>
  <c r="AK109" i="47"/>
  <c r="AI134" i="47"/>
  <c r="AK210" i="47"/>
  <c r="AK76" i="47"/>
  <c r="AK291" i="47"/>
  <c r="AK305" i="47"/>
  <c r="AK465" i="47"/>
  <c r="AK198" i="47"/>
  <c r="AK150" i="47"/>
  <c r="AK62" i="47"/>
  <c r="AK317" i="47"/>
  <c r="AK145" i="47"/>
  <c r="AK100" i="47"/>
  <c r="AK235" i="47"/>
  <c r="AK167" i="47"/>
  <c r="AI268" i="47"/>
  <c r="AK373" i="47"/>
  <c r="AK200" i="47"/>
  <c r="AK91" i="47"/>
  <c r="AK487" i="47"/>
  <c r="AK217" i="47"/>
  <c r="AK258" i="47"/>
  <c r="AH322" i="47"/>
  <c r="AI322" i="47" s="1"/>
  <c r="AJ323" i="47"/>
  <c r="AH148" i="47"/>
  <c r="AI148" i="47" s="1"/>
  <c r="AJ149" i="47"/>
  <c r="AH340" i="47"/>
  <c r="AI340" i="47" s="1"/>
  <c r="AJ341" i="47"/>
  <c r="AK324" i="47"/>
  <c r="AJ425" i="47"/>
  <c r="AH424" i="47"/>
  <c r="AI424" i="47" s="1"/>
  <c r="AH359" i="47"/>
  <c r="AI359" i="47" s="1"/>
  <c r="AJ360" i="47"/>
  <c r="AH445" i="47"/>
  <c r="AI445" i="47" s="1"/>
  <c r="AJ446" i="47"/>
  <c r="AK426" i="47"/>
  <c r="AK361" i="47"/>
  <c r="AK108" i="47"/>
  <c r="AK176" i="47"/>
  <c r="AK316" i="47"/>
  <c r="AH462" i="47"/>
  <c r="AI462" i="47" s="1"/>
  <c r="AJ463" i="47"/>
  <c r="AH368" i="47"/>
  <c r="AI368" i="47" s="1"/>
  <c r="AJ369" i="47"/>
  <c r="AK245" i="47"/>
  <c r="AJ157" i="47"/>
  <c r="AH156" i="47"/>
  <c r="AI156" i="47" s="1"/>
  <c r="AH437" i="47"/>
  <c r="AI437" i="47" s="1"/>
  <c r="AJ438" i="47"/>
  <c r="AH262" i="47"/>
  <c r="AI262" i="47" s="1"/>
  <c r="AJ263" i="47"/>
  <c r="AH118" i="47"/>
  <c r="AI118" i="47" s="1"/>
  <c r="AJ119" i="47"/>
  <c r="AH475" i="47"/>
  <c r="AI475" i="47" s="1"/>
  <c r="AJ476" i="47"/>
  <c r="AK364" i="47"/>
  <c r="AK269" i="47"/>
  <c r="AJ134" i="47"/>
  <c r="AH133" i="47"/>
  <c r="AI133" i="47" s="1"/>
  <c r="AK460" i="47"/>
  <c r="AH280" i="47"/>
  <c r="AI280" i="47" s="1"/>
  <c r="AJ281" i="47"/>
  <c r="AK107" i="47"/>
  <c r="AH467" i="47"/>
  <c r="AI467" i="47" s="1"/>
  <c r="AJ468" i="47"/>
  <c r="AH350" i="47"/>
  <c r="AI350" i="47" s="1"/>
  <c r="AJ351" i="47"/>
  <c r="AK374" i="47"/>
  <c r="AK103" i="47"/>
  <c r="AK288" i="47"/>
  <c r="AH137" i="47"/>
  <c r="AI137" i="47" s="1"/>
  <c r="AJ138" i="47"/>
  <c r="AH251" i="47"/>
  <c r="AI251" i="47" s="1"/>
  <c r="AJ252" i="47"/>
  <c r="AH491" i="47"/>
  <c r="AI491" i="47" s="1"/>
  <c r="AJ492" i="47"/>
  <c r="AK277" i="47"/>
  <c r="AH438" i="47"/>
  <c r="AI438" i="47" s="1"/>
  <c r="AJ439" i="47"/>
  <c r="AK385" i="47"/>
  <c r="AK387" i="47"/>
  <c r="AH182" i="47"/>
  <c r="AI182" i="47" s="1"/>
  <c r="AJ183" i="47"/>
  <c r="AK185" i="47"/>
  <c r="AH65" i="47"/>
  <c r="AI65" i="47" s="1"/>
  <c r="AJ66" i="47"/>
  <c r="AK234" i="47"/>
  <c r="AK118" i="47"/>
  <c r="AH383" i="47"/>
  <c r="AI383" i="47" s="1"/>
  <c r="AJ384" i="47"/>
  <c r="AH285" i="47"/>
  <c r="AI285" i="47" s="1"/>
  <c r="AJ286" i="47"/>
  <c r="AH227" i="47"/>
  <c r="AI227" i="47" s="1"/>
  <c r="AJ228" i="47"/>
  <c r="AK60" i="47"/>
  <c r="AJ257" i="47"/>
  <c r="AH256" i="47"/>
  <c r="AI256" i="47" s="1"/>
  <c r="AH73" i="47"/>
  <c r="AI73" i="47" s="1"/>
  <c r="AJ74" i="47"/>
  <c r="AJ494" i="47"/>
  <c r="AH493" i="47"/>
  <c r="AI493" i="47" s="1"/>
  <c r="AK270" i="47"/>
  <c r="AK273" i="47"/>
  <c r="AH111" i="47"/>
  <c r="AI111" i="47" s="1"/>
  <c r="AJ112" i="47"/>
  <c r="AK435" i="47"/>
  <c r="AH167" i="47"/>
  <c r="AI167" i="47" s="1"/>
  <c r="AJ168" i="47"/>
  <c r="AH70" i="47"/>
  <c r="AI70" i="47" s="1"/>
  <c r="AJ71" i="47"/>
  <c r="AH326" i="47"/>
  <c r="AI326" i="47" s="1"/>
  <c r="AJ327" i="47"/>
  <c r="AK375" i="47"/>
  <c r="AK266" i="47"/>
  <c r="AK437" i="47"/>
  <c r="AK164" i="47"/>
  <c r="AH422" i="47"/>
  <c r="AI422" i="47" s="1"/>
  <c r="AJ423" i="47"/>
  <c r="AK249" i="47"/>
  <c r="AK105" i="47"/>
  <c r="AK445" i="47"/>
  <c r="AH239" i="47"/>
  <c r="AI239" i="47" s="1"/>
  <c r="AJ240" i="47"/>
  <c r="AK129" i="47"/>
  <c r="AK275" i="47"/>
  <c r="AH168" i="47"/>
  <c r="AI168" i="47" s="1"/>
  <c r="AJ169" i="47"/>
  <c r="AK327" i="47"/>
  <c r="AK290" i="47"/>
  <c r="AH149" i="47"/>
  <c r="AI149" i="47" s="1"/>
  <c r="AJ150" i="47"/>
  <c r="AH442" i="47"/>
  <c r="AI442" i="47" s="1"/>
  <c r="AJ443" i="47"/>
  <c r="AK223" i="47"/>
  <c r="AH124" i="47"/>
  <c r="AI124" i="47" s="1"/>
  <c r="AJ125" i="47"/>
  <c r="AH401" i="47"/>
  <c r="AI401" i="47" s="1"/>
  <c r="AJ402" i="47"/>
  <c r="AH176" i="47"/>
  <c r="AI176" i="47" s="1"/>
  <c r="AJ177" i="47"/>
  <c r="AK486" i="47"/>
  <c r="AK400" i="47"/>
  <c r="AK240" i="47"/>
  <c r="AJ120" i="47"/>
  <c r="AH119" i="47"/>
  <c r="AI119" i="47" s="1"/>
  <c r="AK441" i="47"/>
  <c r="AH310" i="47"/>
  <c r="AI310" i="47" s="1"/>
  <c r="AJ311" i="47"/>
  <c r="AK311" i="47"/>
  <c r="AK218" i="47"/>
  <c r="AH99" i="47"/>
  <c r="AI99" i="47" s="1"/>
  <c r="AJ100" i="47"/>
  <c r="AJ245" i="47"/>
  <c r="AH244" i="47"/>
  <c r="AI244" i="47" s="1"/>
  <c r="AK480" i="47"/>
  <c r="AK334" i="47"/>
  <c r="AJ432" i="47"/>
  <c r="AH431" i="47"/>
  <c r="AI431" i="47" s="1"/>
  <c r="AJ433" i="47"/>
  <c r="AH432" i="47"/>
  <c r="AI432" i="47" s="1"/>
  <c r="AK363" i="47"/>
  <c r="AK367" i="47"/>
  <c r="AK127" i="47"/>
  <c r="AK152" i="47"/>
  <c r="AK393" i="47"/>
  <c r="AK212" i="47"/>
  <c r="AJ445" i="47"/>
  <c r="AH444" i="47"/>
  <c r="AI444" i="47" s="1"/>
  <c r="AJ352" i="47"/>
  <c r="AH351" i="47"/>
  <c r="AI351" i="47" s="1"/>
  <c r="AK174" i="47"/>
  <c r="AK98" i="47"/>
  <c r="AH402" i="47"/>
  <c r="AI402" i="47" s="1"/>
  <c r="AJ403" i="47"/>
  <c r="AJ133" i="47"/>
  <c r="AH132" i="47"/>
  <c r="AI132" i="47" s="1"/>
  <c r="AK383" i="47"/>
  <c r="AK131" i="47"/>
  <c r="AK484" i="47"/>
  <c r="AK175" i="47"/>
  <c r="AK338" i="47"/>
  <c r="AJ61" i="47"/>
  <c r="AH60" i="47"/>
  <c r="AI60" i="47" s="1"/>
  <c r="AK279" i="47"/>
  <c r="AK226" i="47"/>
  <c r="AH338" i="47"/>
  <c r="AI338" i="47" s="1"/>
  <c r="AJ339" i="47"/>
  <c r="AK112" i="47"/>
  <c r="AK421" i="47"/>
  <c r="AH358" i="47"/>
  <c r="AI358" i="47" s="1"/>
  <c r="AJ359" i="47"/>
  <c r="AJ99" i="47"/>
  <c r="AH98" i="47"/>
  <c r="AI98" i="47" s="1"/>
  <c r="AK448" i="47"/>
  <c r="AK181" i="47"/>
  <c r="AK66" i="47"/>
  <c r="AH279" i="47"/>
  <c r="AI279" i="47" s="1"/>
  <c r="AJ280" i="47"/>
  <c r="AK483" i="47"/>
  <c r="AK102" i="47"/>
  <c r="AH282" i="47"/>
  <c r="AI282" i="47" s="1"/>
  <c r="AJ283" i="47"/>
  <c r="AJ355" i="47"/>
  <c r="AH354" i="47"/>
  <c r="AI354" i="47" s="1"/>
  <c r="AK177" i="47"/>
  <c r="AH112" i="47"/>
  <c r="AI112" i="47" s="1"/>
  <c r="AJ113" i="47"/>
  <c r="AK140" i="47"/>
  <c r="AH305" i="47"/>
  <c r="AI305" i="47" s="1"/>
  <c r="AJ306" i="47"/>
  <c r="AK219" i="47"/>
  <c r="AH139" i="47"/>
  <c r="AI139" i="47" s="1"/>
  <c r="AJ140" i="47"/>
  <c r="AK244" i="47"/>
  <c r="AK414" i="47"/>
  <c r="AK302" i="47"/>
  <c r="AK187" i="47"/>
  <c r="AK73" i="47"/>
  <c r="AK405" i="47"/>
  <c r="AJ312" i="47"/>
  <c r="AH311" i="47"/>
  <c r="AI311" i="47" s="1"/>
  <c r="AK182" i="47"/>
  <c r="AK497" i="47"/>
  <c r="AK391" i="47"/>
  <c r="AK89" i="47"/>
  <c r="AK293" i="47"/>
  <c r="AK425" i="47"/>
  <c r="AK304" i="47"/>
  <c r="AH165" i="47"/>
  <c r="AI165" i="47" s="1"/>
  <c r="AJ166" i="47"/>
  <c r="AK476" i="47"/>
  <c r="AK222" i="47"/>
  <c r="AK491" i="47"/>
  <c r="AH349" i="47"/>
  <c r="AI349" i="47" s="1"/>
  <c r="AJ350" i="47"/>
  <c r="AJ191" i="47"/>
  <c r="AH190" i="47"/>
  <c r="AI190" i="47" s="1"/>
  <c r="AJ131" i="47"/>
  <c r="AH130" i="47"/>
  <c r="AI130" i="47" s="1"/>
  <c r="AH428" i="47"/>
  <c r="AI428" i="47" s="1"/>
  <c r="AJ429" i="47"/>
  <c r="AJ395" i="47"/>
  <c r="AH394" i="47"/>
  <c r="AI394" i="47" s="1"/>
  <c r="AH377" i="47"/>
  <c r="AI377" i="47" s="1"/>
  <c r="AJ378" i="47"/>
  <c r="AK72" i="47"/>
  <c r="AJ154" i="47"/>
  <c r="AH153" i="47"/>
  <c r="AI153" i="47" s="1"/>
  <c r="AK492" i="47"/>
  <c r="AJ220" i="47"/>
  <c r="AH219" i="47"/>
  <c r="AI219" i="47" s="1"/>
  <c r="AK78" i="47"/>
  <c r="AH152" i="47"/>
  <c r="AI152" i="47" s="1"/>
  <c r="AJ153" i="47"/>
  <c r="AH163" i="47"/>
  <c r="AI163" i="47" s="1"/>
  <c r="AJ164" i="47"/>
  <c r="AH400" i="47"/>
  <c r="AI400" i="47" s="1"/>
  <c r="AJ401" i="47"/>
  <c r="AH459" i="47"/>
  <c r="AI459" i="47" s="1"/>
  <c r="AJ460" i="47"/>
  <c r="AH103" i="47"/>
  <c r="AI103" i="47" s="1"/>
  <c r="AJ104" i="47"/>
  <c r="AH421" i="47"/>
  <c r="AI421" i="47" s="1"/>
  <c r="AJ422" i="47"/>
  <c r="AK241" i="47"/>
  <c r="AJ128" i="47"/>
  <c r="AH127" i="47"/>
  <c r="AI127" i="47" s="1"/>
  <c r="AK443" i="47"/>
  <c r="AK170" i="47"/>
  <c r="AK326" i="47"/>
  <c r="AJ256" i="47"/>
  <c r="AH255" i="47"/>
  <c r="AI255" i="47" s="1"/>
  <c r="AK57" i="47"/>
  <c r="AH128" i="47"/>
  <c r="AI128" i="47" s="1"/>
  <c r="AJ129" i="47"/>
  <c r="AH468" i="47"/>
  <c r="AI468" i="47" s="1"/>
  <c r="AJ469" i="47"/>
  <c r="AJ396" i="47"/>
  <c r="AH395" i="47"/>
  <c r="AI395" i="47" s="1"/>
  <c r="AK403" i="47"/>
  <c r="AK178" i="47"/>
  <c r="AK121" i="47"/>
  <c r="AK452" i="47"/>
  <c r="AH386" i="47"/>
  <c r="AI386" i="47" s="1"/>
  <c r="AJ387" i="47"/>
  <c r="AH293" i="47"/>
  <c r="AI293" i="47" s="1"/>
  <c r="AJ294" i="47"/>
  <c r="AK173" i="47"/>
  <c r="AJ474" i="47"/>
  <c r="AH473" i="47"/>
  <c r="AI473" i="47" s="1"/>
  <c r="AH216" i="47"/>
  <c r="AI216" i="47" s="1"/>
  <c r="AJ217" i="47"/>
  <c r="AH54" i="47"/>
  <c r="AI54" i="47" s="1"/>
  <c r="AJ55" i="47"/>
  <c r="AK259" i="47"/>
  <c r="AH160" i="47"/>
  <c r="AI160" i="47" s="1"/>
  <c r="AJ161" i="47"/>
  <c r="AH188" i="47"/>
  <c r="AI188" i="47" s="1"/>
  <c r="AJ189" i="47"/>
  <c r="AK93" i="47"/>
  <c r="AH92" i="47"/>
  <c r="AI92" i="47" s="1"/>
  <c r="AJ93" i="47"/>
  <c r="AK434" i="47"/>
  <c r="AK144" i="47"/>
  <c r="AK500" i="47"/>
  <c r="AK472" i="47"/>
  <c r="AH166" i="47"/>
  <c r="AI166" i="47" s="1"/>
  <c r="AJ167" i="47"/>
  <c r="AK228" i="47"/>
  <c r="AK377" i="47"/>
  <c r="AK323" i="47"/>
  <c r="AJ142" i="47"/>
  <c r="AH141" i="47"/>
  <c r="AI141" i="47" s="1"/>
  <c r="AH150" i="47"/>
  <c r="AI150" i="47" s="1"/>
  <c r="AJ151" i="47"/>
  <c r="AK353" i="47"/>
  <c r="AK274" i="47"/>
  <c r="AK134" i="47"/>
  <c r="AH448" i="47"/>
  <c r="AI448" i="47" s="1"/>
  <c r="AJ449" i="47"/>
  <c r="AH129" i="47"/>
  <c r="AI129" i="47" s="1"/>
  <c r="AJ130" i="47"/>
  <c r="AK431" i="47"/>
  <c r="AK272" i="47"/>
  <c r="AJ188" i="47"/>
  <c r="AH187" i="47"/>
  <c r="AI187" i="47" s="1"/>
  <c r="AH482" i="47"/>
  <c r="AI482" i="47" s="1"/>
  <c r="AJ483" i="47"/>
  <c r="AH312" i="47"/>
  <c r="AI312" i="47" s="1"/>
  <c r="AJ313" i="47"/>
  <c r="AK283" i="47"/>
  <c r="AH108" i="47"/>
  <c r="AI108" i="47" s="1"/>
  <c r="AJ109" i="47"/>
  <c r="AK457" i="47"/>
  <c r="AH274" i="47"/>
  <c r="AI274" i="47" s="1"/>
  <c r="AJ275" i="47"/>
  <c r="AJ337" i="47"/>
  <c r="AH336" i="47"/>
  <c r="AI336" i="47" s="1"/>
  <c r="AJ453" i="47"/>
  <c r="AH452" i="47"/>
  <c r="AI452" i="47" s="1"/>
  <c r="AK422" i="47"/>
  <c r="AK191" i="47"/>
  <c r="AH224" i="47"/>
  <c r="AI224" i="47" s="1"/>
  <c r="AJ225" i="47"/>
  <c r="AK188" i="47"/>
  <c r="AJ464" i="47"/>
  <c r="AH463" i="47"/>
  <c r="AI463" i="47" s="1"/>
  <c r="AH367" i="47"/>
  <c r="AI367" i="47" s="1"/>
  <c r="AJ368" i="47"/>
  <c r="AK473" i="47"/>
  <c r="AJ358" i="47"/>
  <c r="AH357" i="47"/>
  <c r="AI357" i="47" s="1"/>
  <c r="AK360" i="47"/>
  <c r="AJ207" i="47"/>
  <c r="AH206" i="47"/>
  <c r="AI206" i="47" s="1"/>
  <c r="AJ295" i="47"/>
  <c r="AH296" i="47"/>
  <c r="AI296" i="47" s="1"/>
  <c r="AJ297" i="47"/>
  <c r="AK65" i="47"/>
  <c r="AH371" i="47"/>
  <c r="AI371" i="47" s="1"/>
  <c r="AJ372" i="47"/>
  <c r="AK281" i="47"/>
  <c r="AH164" i="47"/>
  <c r="AI164" i="47" s="1"/>
  <c r="AJ165" i="47"/>
  <c r="AH416" i="47"/>
  <c r="AI416" i="47" s="1"/>
  <c r="AJ417" i="47"/>
  <c r="AJ484" i="47"/>
  <c r="AH485" i="47"/>
  <c r="AI485" i="47" s="1"/>
  <c r="AJ486" i="47"/>
  <c r="AH276" i="47"/>
  <c r="AI276" i="47" s="1"/>
  <c r="AJ277" i="47"/>
  <c r="AK149" i="47"/>
  <c r="AH104" i="47"/>
  <c r="AI104" i="47" s="1"/>
  <c r="AJ105" i="47"/>
  <c r="AH175" i="47"/>
  <c r="AI175" i="47" s="1"/>
  <c r="AJ176" i="47"/>
  <c r="AJ265" i="47"/>
  <c r="AH266" i="47"/>
  <c r="AI266" i="47" s="1"/>
  <c r="AJ267" i="47"/>
  <c r="AK141" i="47"/>
  <c r="AH476" i="47"/>
  <c r="AI476" i="47" s="1"/>
  <c r="AJ477" i="47"/>
  <c r="AK420" i="47"/>
  <c r="AH242" i="47"/>
  <c r="AI242" i="47" s="1"/>
  <c r="AJ243" i="47"/>
  <c r="AJ186" i="47"/>
  <c r="AH185" i="47"/>
  <c r="AI185" i="47" s="1"/>
  <c r="AK313" i="47"/>
  <c r="AH389" i="47"/>
  <c r="AI389" i="47" s="1"/>
  <c r="AJ390" i="47"/>
  <c r="AK242" i="47"/>
  <c r="AH87" i="47"/>
  <c r="AI87" i="47" s="1"/>
  <c r="AJ88" i="47"/>
  <c r="AK357" i="47"/>
  <c r="AH474" i="47"/>
  <c r="AI474" i="47" s="1"/>
  <c r="AJ475" i="47"/>
  <c r="AJ221" i="47"/>
  <c r="AH220" i="47"/>
  <c r="AI220" i="47" s="1"/>
  <c r="AK495" i="47"/>
  <c r="AK132" i="47"/>
  <c r="AH433" i="47"/>
  <c r="AI433" i="47" s="1"/>
  <c r="AJ434" i="47"/>
  <c r="AK379" i="47"/>
  <c r="AH306" i="47"/>
  <c r="AI306" i="47" s="1"/>
  <c r="AJ307" i="47"/>
  <c r="AK155" i="47"/>
  <c r="AH352" i="47"/>
  <c r="AI352" i="47" s="1"/>
  <c r="AJ353" i="47"/>
  <c r="AK154" i="47"/>
  <c r="AJ163" i="47"/>
  <c r="AH162" i="47"/>
  <c r="AI162" i="47" s="1"/>
  <c r="AK424" i="47"/>
  <c r="AH247" i="47"/>
  <c r="AI247" i="47" s="1"/>
  <c r="AJ248" i="47"/>
  <c r="AK423" i="47"/>
  <c r="AJ442" i="47"/>
  <c r="AH441" i="47"/>
  <c r="AI441" i="47" s="1"/>
  <c r="AH273" i="47"/>
  <c r="AI273" i="47" s="1"/>
  <c r="AJ274" i="47"/>
  <c r="AH499" i="47"/>
  <c r="AI499" i="47" s="1"/>
  <c r="AJ500" i="47"/>
  <c r="AH288" i="47"/>
  <c r="AI288" i="47" s="1"/>
  <c r="AJ289" i="47"/>
  <c r="AH461" i="47"/>
  <c r="AI461" i="47" s="1"/>
  <c r="AJ462" i="47"/>
  <c r="AH324" i="47"/>
  <c r="AI324" i="47" s="1"/>
  <c r="AJ325" i="47"/>
  <c r="AK257" i="47"/>
  <c r="AK444" i="47"/>
  <c r="AH221" i="47"/>
  <c r="AI221" i="47" s="1"/>
  <c r="AJ222" i="47"/>
  <c r="AK470" i="47"/>
  <c r="AH237" i="47"/>
  <c r="AI237" i="47" s="1"/>
  <c r="AJ238" i="47"/>
  <c r="AK397" i="47"/>
  <c r="AH484" i="47"/>
  <c r="AI484" i="47" s="1"/>
  <c r="AJ485" i="47"/>
  <c r="AH218" i="47"/>
  <c r="AI218" i="47" s="1"/>
  <c r="AJ219" i="47"/>
  <c r="AH144" i="47"/>
  <c r="AI144" i="47" s="1"/>
  <c r="AJ145" i="47"/>
  <c r="AJ172" i="47"/>
  <c r="AH171" i="47"/>
  <c r="AI171" i="47" s="1"/>
  <c r="AH425" i="47"/>
  <c r="AI425" i="47" s="1"/>
  <c r="AJ426" i="47"/>
  <c r="AK365" i="47"/>
  <c r="AK312" i="47"/>
  <c r="AJ135" i="47"/>
  <c r="AH135" i="47"/>
  <c r="AI135" i="47" s="1"/>
  <c r="AJ136" i="47"/>
  <c r="AK56" i="47"/>
  <c r="AK406" i="47"/>
  <c r="AK409" i="47"/>
  <c r="AJ258" i="47"/>
  <c r="AH257" i="47"/>
  <c r="AI257" i="47" s="1"/>
  <c r="AK101" i="47"/>
  <c r="AK390" i="47"/>
  <c r="AK162" i="47"/>
  <c r="AJ479" i="47"/>
  <c r="AH478" i="47"/>
  <c r="AI478" i="47" s="1"/>
  <c r="AK459" i="47"/>
  <c r="AK238" i="47"/>
  <c r="AK449" i="47"/>
  <c r="AK318" i="47"/>
  <c r="AJ210" i="47"/>
  <c r="AH209" i="47"/>
  <c r="AI209" i="47" s="1"/>
  <c r="AK262" i="47"/>
  <c r="AH498" i="47"/>
  <c r="AI498" i="47" s="1"/>
  <c r="AJ499" i="47"/>
  <c r="AK358" i="47"/>
  <c r="AK227" i="47"/>
  <c r="AH157" i="47"/>
  <c r="AI157" i="47" s="1"/>
  <c r="AJ158" i="47"/>
  <c r="AJ366" i="47"/>
  <c r="AH365" i="47"/>
  <c r="AI365" i="47" s="1"/>
  <c r="AH125" i="47"/>
  <c r="AI125" i="47" s="1"/>
  <c r="AJ126" i="47"/>
  <c r="AK320" i="47"/>
  <c r="AK143" i="47"/>
  <c r="AK455" i="47"/>
  <c r="AH301" i="47"/>
  <c r="AI301" i="47" s="1"/>
  <c r="AJ302" i="47"/>
  <c r="AH449" i="47"/>
  <c r="AI449" i="47" s="1"/>
  <c r="AJ450" i="47"/>
  <c r="AH210" i="47"/>
  <c r="AI210" i="47" s="1"/>
  <c r="AJ211" i="47"/>
  <c r="AJ83" i="47"/>
  <c r="AH82" i="47"/>
  <c r="AI82" i="47" s="1"/>
  <c r="AH96" i="47"/>
  <c r="AI96" i="47" s="1"/>
  <c r="AJ97" i="47"/>
  <c r="AK404" i="47"/>
  <c r="AK450" i="47"/>
  <c r="AJ382" i="47"/>
  <c r="AH381" i="47"/>
  <c r="AI381" i="47" s="1"/>
  <c r="AK189" i="47"/>
  <c r="AK376" i="47"/>
  <c r="AJ215" i="47"/>
  <c r="AH214" i="47"/>
  <c r="AI214" i="47" s="1"/>
  <c r="AH83" i="47"/>
  <c r="AI83" i="47" s="1"/>
  <c r="AJ84" i="47"/>
  <c r="AK314" i="47"/>
  <c r="AJ456" i="47"/>
  <c r="AH455" i="47"/>
  <c r="AI455" i="47" s="1"/>
  <c r="AK276" i="47"/>
  <c r="AH248" i="47"/>
  <c r="AI248" i="47" s="1"/>
  <c r="AJ249" i="47"/>
  <c r="AK485" i="47"/>
  <c r="AH140" i="47"/>
  <c r="AI140" i="47" s="1"/>
  <c r="AJ141" i="47"/>
  <c r="AH189" i="47"/>
  <c r="AI189" i="47" s="1"/>
  <c r="AJ190" i="47"/>
  <c r="AH277" i="47"/>
  <c r="AI277" i="47" s="1"/>
  <c r="AJ278" i="47"/>
  <c r="AK340" i="47"/>
  <c r="AJ187" i="47"/>
  <c r="AH186" i="47"/>
  <c r="AI186" i="47" s="1"/>
  <c r="AH143" i="47"/>
  <c r="AI143" i="47" s="1"/>
  <c r="AJ144" i="47"/>
  <c r="AK369" i="47"/>
  <c r="AK359" i="47"/>
  <c r="AK215" i="47"/>
  <c r="AJ68" i="47"/>
  <c r="AH67" i="47"/>
  <c r="AI67" i="47" s="1"/>
  <c r="AK208" i="47"/>
  <c r="AK298" i="47"/>
  <c r="AH64" i="47"/>
  <c r="AI64" i="47" s="1"/>
  <c r="AJ65" i="47"/>
  <c r="AK166" i="47"/>
  <c r="AH481" i="47"/>
  <c r="AI481" i="47" s="1"/>
  <c r="AJ482" i="47"/>
  <c r="AK494" i="47"/>
  <c r="AK496" i="47"/>
  <c r="AK284" i="47"/>
  <c r="AK106" i="47"/>
  <c r="AK356" i="47"/>
  <c r="AH460" i="47"/>
  <c r="AI460" i="47" s="1"/>
  <c r="AJ461" i="47"/>
  <c r="AK268" i="47"/>
  <c r="AK481" i="47"/>
  <c r="AK478" i="47"/>
  <c r="AK138" i="47"/>
  <c r="AH426" i="47"/>
  <c r="AI426" i="47" s="1"/>
  <c r="AJ427" i="47"/>
  <c r="AJ53" i="47"/>
  <c r="AH52" i="47"/>
  <c r="AI52" i="47" s="1"/>
  <c r="AJ180" i="47"/>
  <c r="AJ182" i="47"/>
  <c r="AH181" i="47"/>
  <c r="AI181" i="47" s="1"/>
  <c r="AJ236" i="47"/>
  <c r="AH235" i="47"/>
  <c r="AI235" i="47" s="1"/>
  <c r="AH121" i="47"/>
  <c r="AI121" i="47" s="1"/>
  <c r="AJ122" i="47"/>
  <c r="AK410" i="47"/>
  <c r="AJ235" i="47"/>
  <c r="AH234" i="47"/>
  <c r="AI234" i="47" s="1"/>
  <c r="AJ124" i="47"/>
  <c r="AH123" i="47"/>
  <c r="AI123" i="47" s="1"/>
  <c r="AH155" i="47"/>
  <c r="AI155" i="47" s="1"/>
  <c r="AJ156" i="47"/>
  <c r="AK467" i="47"/>
  <c r="AH250" i="47"/>
  <c r="AI250" i="47" s="1"/>
  <c r="AJ251" i="47"/>
  <c r="AK194" i="47"/>
  <c r="AK71" i="47"/>
  <c r="AK412" i="47"/>
  <c r="AK301" i="47"/>
  <c r="AK255" i="47"/>
  <c r="AH80" i="47"/>
  <c r="AI80" i="47" s="1"/>
  <c r="AJ81" i="47"/>
  <c r="AJ416" i="47"/>
  <c r="AH415" i="47"/>
  <c r="AI415" i="47" s="1"/>
  <c r="AK225" i="47"/>
  <c r="AJ441" i="47"/>
  <c r="AH440" i="47"/>
  <c r="AI440" i="47" s="1"/>
  <c r="AK413" i="47"/>
  <c r="AH427" i="47"/>
  <c r="AI427" i="47" s="1"/>
  <c r="AJ428" i="47"/>
  <c r="AK490" i="47"/>
  <c r="AH404" i="47"/>
  <c r="AI404" i="47" s="1"/>
  <c r="AJ405" i="47"/>
  <c r="AH398" i="47"/>
  <c r="AI398" i="47" s="1"/>
  <c r="AJ399" i="47"/>
  <c r="AH238" i="47"/>
  <c r="AI238" i="47" s="1"/>
  <c r="AJ239" i="47"/>
  <c r="AH450" i="47"/>
  <c r="AI450" i="47" s="1"/>
  <c r="AJ451" i="47"/>
  <c r="AK388" i="47"/>
  <c r="AK220" i="47"/>
  <c r="AK146" i="47"/>
  <c r="AH439" i="47"/>
  <c r="AI439" i="47" s="1"/>
  <c r="AJ440" i="47"/>
  <c r="AK295" i="47"/>
  <c r="AK427" i="47"/>
  <c r="AJ364" i="47"/>
  <c r="AH363" i="47"/>
  <c r="AI363" i="47" s="1"/>
  <c r="AK137" i="47"/>
  <c r="AK475" i="47"/>
  <c r="AH309" i="47"/>
  <c r="AI309" i="47" s="1"/>
  <c r="AJ310" i="47"/>
  <c r="AH407" i="47"/>
  <c r="AI407" i="47" s="1"/>
  <c r="AJ408" i="47"/>
  <c r="AH388" i="47"/>
  <c r="AI388" i="47" s="1"/>
  <c r="AJ389" i="47"/>
  <c r="AK246" i="47"/>
  <c r="AH332" i="47"/>
  <c r="AI332" i="47" s="1"/>
  <c r="AJ333" i="47"/>
  <c r="AK190" i="47"/>
  <c r="AH457" i="47"/>
  <c r="AI457" i="47" s="1"/>
  <c r="AJ458" i="47"/>
  <c r="AK433" i="47"/>
  <c r="AJ237" i="47"/>
  <c r="AH236" i="47"/>
  <c r="AI236" i="47" s="1"/>
  <c r="AH91" i="47"/>
  <c r="AI91" i="47" s="1"/>
  <c r="AJ92" i="47"/>
  <c r="AH447" i="47"/>
  <c r="AI447" i="47" s="1"/>
  <c r="AJ448" i="47"/>
  <c r="AH316" i="47"/>
  <c r="AI316" i="47" s="1"/>
  <c r="AJ317" i="47"/>
  <c r="AK211" i="47"/>
  <c r="AK94" i="47"/>
  <c r="AH260" i="47"/>
  <c r="AI260" i="47" s="1"/>
  <c r="AJ261" i="47"/>
  <c r="AH142" i="47"/>
  <c r="AI142" i="47" s="1"/>
  <c r="AJ143" i="47"/>
  <c r="AH356" i="47"/>
  <c r="AI356" i="47" s="1"/>
  <c r="AJ357" i="47"/>
  <c r="AJ226" i="47"/>
  <c r="AH225" i="47"/>
  <c r="AI225" i="47" s="1"/>
  <c r="AK159" i="47"/>
  <c r="AJ471" i="47"/>
  <c r="AH470" i="47"/>
  <c r="AI470" i="47" s="1"/>
  <c r="AH361" i="47"/>
  <c r="AI361" i="47" s="1"/>
  <c r="AJ362" i="47"/>
  <c r="AK168" i="47"/>
  <c r="AH226" i="47"/>
  <c r="AI226" i="47" s="1"/>
  <c r="AJ227" i="47"/>
  <c r="AH375" i="47"/>
  <c r="AI375" i="47" s="1"/>
  <c r="AJ376" i="47"/>
  <c r="AH321" i="47"/>
  <c r="AI321" i="47" s="1"/>
  <c r="AJ322" i="47"/>
  <c r="AH453" i="47"/>
  <c r="AI453" i="47" s="1"/>
  <c r="AJ454" i="47"/>
  <c r="AK303" i="47"/>
  <c r="AK451" i="47"/>
  <c r="AH391" i="47"/>
  <c r="AI391" i="47" s="1"/>
  <c r="AJ392" i="47"/>
  <c r="AK84" i="47"/>
  <c r="AK446" i="47"/>
  <c r="AH172" i="47"/>
  <c r="AI172" i="47" s="1"/>
  <c r="AJ173" i="47"/>
  <c r="AH272" i="47"/>
  <c r="AI272" i="47" s="1"/>
  <c r="AJ273" i="47"/>
  <c r="AH265" i="47"/>
  <c r="AI265" i="47" s="1"/>
  <c r="AJ266" i="47"/>
  <c r="AH429" i="47"/>
  <c r="AI429" i="47" s="1"/>
  <c r="AJ430" i="47"/>
  <c r="AH374" i="47"/>
  <c r="AI374" i="47" s="1"/>
  <c r="AJ375" i="47"/>
  <c r="AK216" i="47"/>
  <c r="AK85" i="47"/>
  <c r="AH281" i="47"/>
  <c r="AI281" i="47" s="1"/>
  <c r="AJ282" i="47"/>
  <c r="AK110" i="47"/>
  <c r="AJ174" i="47"/>
  <c r="AH173" i="47"/>
  <c r="AI173" i="47" s="1"/>
  <c r="AK250" i="47"/>
  <c r="AI483" i="47"/>
  <c r="AH289" i="47"/>
  <c r="AI289" i="47" s="1"/>
  <c r="AJ290" i="47"/>
  <c r="AK454" i="47"/>
  <c r="AH420" i="47"/>
  <c r="AI420" i="47" s="1"/>
  <c r="AJ421" i="47"/>
  <c r="AH399" i="47"/>
  <c r="AI399" i="47" s="1"/>
  <c r="AJ400" i="47"/>
  <c r="AH63" i="47"/>
  <c r="AI63" i="47" s="1"/>
  <c r="AJ64" i="47"/>
  <c r="AH110" i="47"/>
  <c r="AI110" i="47" s="1"/>
  <c r="AJ111" i="47"/>
  <c r="AH303" i="47"/>
  <c r="AI303" i="47" s="1"/>
  <c r="AJ304" i="47"/>
  <c r="AH315" i="47"/>
  <c r="AI315" i="47" s="1"/>
  <c r="AJ316" i="47"/>
  <c r="AJ197" i="47"/>
  <c r="AH196" i="47"/>
  <c r="AI196" i="47" s="1"/>
  <c r="AH471" i="47"/>
  <c r="AI471" i="47" s="1"/>
  <c r="AJ472" i="47"/>
  <c r="AH213" i="47"/>
  <c r="AI213" i="47" s="1"/>
  <c r="AJ214" i="47"/>
  <c r="AK69" i="47"/>
  <c r="AH419" i="47"/>
  <c r="AI419" i="47" s="1"/>
  <c r="AJ420" i="47"/>
  <c r="AH446" i="47"/>
  <c r="AI446" i="47" s="1"/>
  <c r="AJ447" i="47"/>
  <c r="AI179" i="47"/>
  <c r="AK418" i="47"/>
  <c r="AJ234" i="47"/>
  <c r="AH233" i="47"/>
  <c r="AI233" i="47" s="1"/>
  <c r="AJ101" i="47"/>
  <c r="AH100" i="47"/>
  <c r="AI100" i="47" s="1"/>
  <c r="AK278" i="47"/>
  <c r="AH147" i="47"/>
  <c r="AI147" i="47" s="1"/>
  <c r="AJ148" i="47"/>
  <c r="AJ495" i="47"/>
  <c r="AH494" i="47"/>
  <c r="AI494" i="47" s="1"/>
  <c r="AH198" i="47"/>
  <c r="AI198" i="47" s="1"/>
  <c r="AJ199" i="47"/>
  <c r="AK114" i="47"/>
  <c r="AK462" i="47"/>
  <c r="AH138" i="47"/>
  <c r="AI138" i="47" s="1"/>
  <c r="AJ139" i="47"/>
  <c r="AH479" i="47"/>
  <c r="AI479" i="47" s="1"/>
  <c r="AJ480" i="47"/>
  <c r="AK307" i="47"/>
  <c r="AH217" i="47"/>
  <c r="AI217" i="47" s="1"/>
  <c r="AJ218" i="47"/>
  <c r="AH418" i="47"/>
  <c r="AI418" i="47" s="1"/>
  <c r="AJ419" i="47"/>
  <c r="AJ137" i="47"/>
  <c r="AH136" i="47"/>
  <c r="AI136" i="47" s="1"/>
  <c r="AH412" i="47"/>
  <c r="AI412" i="47" s="1"/>
  <c r="AJ413" i="47"/>
  <c r="AH300" i="47"/>
  <c r="AI300" i="47" s="1"/>
  <c r="AJ301" i="47"/>
  <c r="AH71" i="47"/>
  <c r="AI71" i="47" s="1"/>
  <c r="AJ72" i="47"/>
  <c r="AH403" i="47"/>
  <c r="AI403" i="47" s="1"/>
  <c r="AJ404" i="47"/>
  <c r="AH180" i="47"/>
  <c r="AI180" i="47" s="1"/>
  <c r="AJ181" i="47"/>
  <c r="AH495" i="47"/>
  <c r="AI495" i="47" s="1"/>
  <c r="AJ496" i="47"/>
  <c r="AH240" i="47"/>
  <c r="AI240" i="47" s="1"/>
  <c r="AJ241" i="47"/>
  <c r="AH355" i="47"/>
  <c r="AI355" i="47" s="1"/>
  <c r="AJ356" i="47"/>
  <c r="AJ292" i="47"/>
  <c r="AH291" i="47"/>
  <c r="AI291" i="47" s="1"/>
  <c r="AH89" i="47"/>
  <c r="AI89" i="47" s="1"/>
  <c r="AJ90" i="47"/>
  <c r="AH423" i="47"/>
  <c r="AI423" i="47" s="1"/>
  <c r="AJ424" i="47"/>
  <c r="AH302" i="47"/>
  <c r="AI302" i="47" s="1"/>
  <c r="AJ303" i="47"/>
  <c r="AK428" i="47"/>
  <c r="AK54" i="47"/>
  <c r="AK456" i="47"/>
  <c r="AK254" i="47"/>
  <c r="AH184" i="47"/>
  <c r="AI184" i="47" s="1"/>
  <c r="AJ185" i="47"/>
  <c r="AJ76" i="47"/>
  <c r="AH75" i="47"/>
  <c r="AI75" i="47" s="1"/>
  <c r="AH290" i="47"/>
  <c r="AI290" i="47" s="1"/>
  <c r="AJ291" i="47"/>
  <c r="AK183" i="47"/>
  <c r="AK59" i="47"/>
  <c r="AK236" i="47"/>
  <c r="AK125" i="47"/>
  <c r="AK392" i="47"/>
  <c r="AH337" i="47"/>
  <c r="AI337" i="47" s="1"/>
  <c r="AJ338" i="47"/>
  <c r="AK157" i="47"/>
  <c r="AK252" i="47"/>
  <c r="AJ193" i="47"/>
  <c r="AH192" i="47"/>
  <c r="AI192" i="47" s="1"/>
  <c r="AK80" i="47"/>
  <c r="AK180" i="47"/>
  <c r="AH114" i="47"/>
  <c r="AI114" i="47" s="1"/>
  <c r="AJ115" i="47"/>
  <c r="AK195" i="47"/>
  <c r="AK417" i="47"/>
  <c r="AH223" i="47"/>
  <c r="AI223" i="47" s="1"/>
  <c r="AJ224" i="47"/>
  <c r="AK74" i="47"/>
  <c r="AK389" i="47"/>
  <c r="AH204" i="47"/>
  <c r="AI204" i="47" s="1"/>
  <c r="AJ205" i="47"/>
  <c r="AK442" i="47"/>
  <c r="AK248" i="47"/>
  <c r="AH318" i="47"/>
  <c r="AI318" i="47" s="1"/>
  <c r="AJ319" i="47"/>
  <c r="AK429" i="47"/>
  <c r="AH203" i="47"/>
  <c r="AI203" i="47" s="1"/>
  <c r="AJ204" i="47"/>
  <c r="AH488" i="47"/>
  <c r="AI488" i="47" s="1"/>
  <c r="AJ489" i="47"/>
  <c r="AK214" i="47"/>
  <c r="AK97" i="47"/>
  <c r="AJ305" i="47"/>
  <c r="AH304" i="47"/>
  <c r="AI304" i="47" s="1"/>
  <c r="AK117" i="47"/>
  <c r="AJ147" i="47"/>
  <c r="AH146" i="47"/>
  <c r="AI146" i="47" s="1"/>
  <c r="AK341" i="47"/>
  <c r="AK321" i="47"/>
  <c r="AH489" i="47"/>
  <c r="AI489" i="47" s="1"/>
  <c r="AJ490" i="47"/>
  <c r="AK348" i="47"/>
  <c r="AH469" i="47"/>
  <c r="AI469" i="47" s="1"/>
  <c r="AJ470" i="47"/>
  <c r="AI294" i="47"/>
  <c r="AK204" i="47"/>
  <c r="AK96" i="47"/>
  <c r="AK477" i="47"/>
  <c r="AK479" i="47"/>
  <c r="AH298" i="47"/>
  <c r="AI298" i="47" s="1"/>
  <c r="AJ299" i="47"/>
  <c r="AK501" i="47"/>
  <c r="AH222" i="47"/>
  <c r="AI222" i="47" s="1"/>
  <c r="AJ223" i="47"/>
  <c r="AK83" i="47"/>
  <c r="AK325" i="47"/>
  <c r="AH97" i="47"/>
  <c r="AI97" i="47" s="1"/>
  <c r="AJ98" i="47"/>
  <c r="AH364" i="47"/>
  <c r="AI364" i="47" s="1"/>
  <c r="AJ365" i="47"/>
  <c r="AH330" i="47"/>
  <c r="AI330" i="47" s="1"/>
  <c r="AJ331" i="47"/>
  <c r="AK161" i="47"/>
  <c r="AK372" i="47"/>
  <c r="AK63" i="47"/>
  <c r="AK438" i="47"/>
  <c r="AK70" i="47"/>
  <c r="AK160" i="47"/>
  <c r="AH466" i="47"/>
  <c r="AI466" i="47" s="1"/>
  <c r="AJ467" i="47"/>
  <c r="AK299" i="47"/>
  <c r="AK333" i="47"/>
  <c r="AK172" i="47"/>
  <c r="AK381" i="47"/>
  <c r="AK419" i="47"/>
  <c r="AH199" i="47"/>
  <c r="AI199" i="47" s="1"/>
  <c r="AJ200" i="47"/>
  <c r="AH86" i="47"/>
  <c r="AI86" i="47" s="1"/>
  <c r="AJ87" i="47"/>
  <c r="AK335" i="47"/>
  <c r="AK79" i="47"/>
  <c r="AH329" i="47"/>
  <c r="AI329" i="47" s="1"/>
  <c r="AJ330" i="47"/>
  <c r="AK488" i="47"/>
  <c r="AH345" i="47"/>
  <c r="AI345" i="47" s="1"/>
  <c r="AJ346" i="47"/>
  <c r="AJ67" i="47"/>
  <c r="AH66" i="47"/>
  <c r="AI66" i="47" s="1"/>
  <c r="AK87" i="47"/>
  <c r="AJ175" i="47"/>
  <c r="AH174" i="47"/>
  <c r="AI174" i="47" s="1"/>
  <c r="AJ107" i="47"/>
  <c r="AH106" i="47"/>
  <c r="AI106" i="47" s="1"/>
  <c r="AK464" i="47"/>
  <c r="AJ244" i="47"/>
  <c r="AH243" i="47"/>
  <c r="AI243" i="47" s="1"/>
  <c r="AK158" i="47"/>
  <c r="AJ110" i="47"/>
  <c r="AH109" i="47"/>
  <c r="AI109" i="47" s="1"/>
  <c r="AJ242" i="47"/>
  <c r="AH241" i="47"/>
  <c r="AI241" i="47" s="1"/>
  <c r="AK136" i="47"/>
  <c r="AK135" i="47"/>
  <c r="AH343" i="47"/>
  <c r="AI343" i="47" s="1"/>
  <c r="AJ344" i="47"/>
  <c r="AH372" i="47"/>
  <c r="AI372" i="47" s="1"/>
  <c r="AJ373" i="47"/>
  <c r="AH208" i="47"/>
  <c r="AI208" i="47" s="1"/>
  <c r="AJ209" i="47"/>
  <c r="AH456" i="47"/>
  <c r="AI456" i="47" s="1"/>
  <c r="AJ457" i="47"/>
  <c r="AK253" i="47"/>
  <c r="AK163" i="47"/>
  <c r="AK344" i="47"/>
  <c r="AK346" i="47"/>
  <c r="AK440" i="47"/>
  <c r="AK184" i="47"/>
  <c r="AK58" i="47"/>
  <c r="AK453" i="47"/>
  <c r="AK267" i="47"/>
  <c r="AK271" i="47"/>
  <c r="AH232" i="47"/>
  <c r="AI232" i="47" s="1"/>
  <c r="AJ233" i="47"/>
  <c r="AJ117" i="47"/>
  <c r="AH116" i="47"/>
  <c r="AI116" i="47" s="1"/>
  <c r="AK407" i="47"/>
  <c r="AK196" i="47"/>
  <c r="AK362" i="47"/>
  <c r="AH464" i="47"/>
  <c r="AI464" i="47" s="1"/>
  <c r="AJ465" i="47"/>
  <c r="AH261" i="47"/>
  <c r="AI261" i="47" s="1"/>
  <c r="AJ262" i="47"/>
  <c r="AK229" i="47"/>
  <c r="AH378" i="47"/>
  <c r="AI378" i="47" s="1"/>
  <c r="AJ379" i="47"/>
  <c r="AH327" i="47"/>
  <c r="AI327" i="47" s="1"/>
  <c r="AJ328" i="47"/>
  <c r="AH126" i="47"/>
  <c r="AI126" i="47" s="1"/>
  <c r="AJ127" i="47"/>
  <c r="AK186" i="47"/>
  <c r="AJ407" i="47"/>
  <c r="AH406" i="47"/>
  <c r="AI406" i="47" s="1"/>
  <c r="AK292" i="47"/>
  <c r="AJ318" i="47"/>
  <c r="AH317" i="47"/>
  <c r="AI317" i="47" s="1"/>
  <c r="AH408" i="47"/>
  <c r="AI408" i="47" s="1"/>
  <c r="AJ409" i="47"/>
  <c r="AH353" i="47"/>
  <c r="AI353" i="47" s="1"/>
  <c r="AJ354" i="47"/>
  <c r="AK339" i="47"/>
  <c r="AH465" i="47"/>
  <c r="AI465" i="47" s="1"/>
  <c r="AJ466" i="47"/>
  <c r="AH78" i="47"/>
  <c r="AI78" i="47" s="1"/>
  <c r="AJ79" i="47"/>
  <c r="AJ435" i="47"/>
  <c r="AH434" i="47"/>
  <c r="AI434" i="47" s="1"/>
  <c r="AH69" i="47"/>
  <c r="AI69" i="47" s="1"/>
  <c r="AJ70" i="47"/>
  <c r="AH299" i="47"/>
  <c r="AI299" i="47" s="1"/>
  <c r="AJ300" i="47"/>
  <c r="AK116" i="47"/>
  <c r="AH409" i="47"/>
  <c r="AI409" i="47" s="1"/>
  <c r="AJ410" i="47"/>
  <c r="AJ254" i="47"/>
  <c r="AH253" i="47"/>
  <c r="AI253" i="47" s="1"/>
  <c r="AH193" i="47"/>
  <c r="AI193" i="47" s="1"/>
  <c r="AJ194" i="47"/>
  <c r="AK289" i="47"/>
  <c r="AJ73" i="47"/>
  <c r="AH72" i="47"/>
  <c r="AI72" i="47" s="1"/>
  <c r="AK206" i="47"/>
  <c r="AH131" i="47"/>
  <c r="AI131" i="47" s="1"/>
  <c r="AJ132" i="47"/>
  <c r="AJ343" i="47"/>
  <c r="AH342" i="47"/>
  <c r="AI342" i="47" s="1"/>
  <c r="AJ94" i="47"/>
  <c r="AH93" i="47"/>
  <c r="AI93" i="47" s="1"/>
  <c r="AH122" i="47"/>
  <c r="AI122" i="47" s="1"/>
  <c r="AJ123" i="47"/>
  <c r="AJ96" i="47"/>
  <c r="AH95" i="47"/>
  <c r="AI95" i="47" s="1"/>
  <c r="AK382" i="47"/>
  <c r="AK306" i="47"/>
  <c r="AK499" i="47"/>
  <c r="AH346" i="47"/>
  <c r="AI346" i="47" s="1"/>
  <c r="AJ347" i="47"/>
  <c r="AH94" i="47"/>
  <c r="AI94" i="47" s="1"/>
  <c r="AJ95" i="47"/>
  <c r="AH397" i="47"/>
  <c r="AI397" i="47" s="1"/>
  <c r="AJ398" i="47"/>
  <c r="AK247" i="47"/>
  <c r="AJ501" i="47"/>
  <c r="AH500" i="47"/>
  <c r="AI500" i="47" s="1"/>
  <c r="AH320" i="47"/>
  <c r="AI320" i="47" s="1"/>
  <c r="AJ321" i="47"/>
  <c r="AK224" i="47"/>
  <c r="AK99" i="47"/>
  <c r="AJ296" i="47"/>
  <c r="AH295" i="47"/>
  <c r="AI295" i="47" s="1"/>
  <c r="AK153" i="47"/>
  <c r="AK489" i="47"/>
  <c r="AJ192" i="47"/>
  <c r="AH191" i="47"/>
  <c r="AI191" i="47" s="1"/>
  <c r="AK233" i="47"/>
  <c r="AK213" i="47"/>
  <c r="AJ69" i="47"/>
  <c r="AH68" i="47"/>
  <c r="AI68" i="47" s="1"/>
  <c r="AK310" i="47"/>
  <c r="AK122" i="47"/>
  <c r="AJ196" i="47"/>
  <c r="AH195" i="47"/>
  <c r="AI195" i="47" s="1"/>
  <c r="AJ298" i="47"/>
  <c r="AH297" i="47"/>
  <c r="AI297" i="47" s="1"/>
  <c r="AH84" i="47"/>
  <c r="AI84" i="47" s="1"/>
  <c r="AJ85" i="47"/>
  <c r="AK231" i="47"/>
  <c r="AK209" i="47"/>
  <c r="AJ481" i="47"/>
  <c r="AH480" i="47"/>
  <c r="AI480" i="47" s="1"/>
  <c r="AK394" i="47"/>
  <c r="AK265" i="47"/>
  <c r="AK88" i="47"/>
  <c r="AH77" i="47"/>
  <c r="AI77" i="47" s="1"/>
  <c r="AJ78" i="47"/>
  <c r="AK384" i="47"/>
  <c r="AK179" i="47"/>
  <c r="AH348" i="47"/>
  <c r="AI348" i="47" s="1"/>
  <c r="AJ349" i="47"/>
  <c r="AK256" i="47"/>
  <c r="AH396" i="47"/>
  <c r="AI396" i="47" s="1"/>
  <c r="AJ397" i="47"/>
  <c r="AJ114" i="47"/>
  <c r="AH113" i="47"/>
  <c r="AI113" i="47" s="1"/>
  <c r="AH117" i="47"/>
  <c r="AI117" i="47" s="1"/>
  <c r="AJ118" i="47"/>
  <c r="AH413" i="47"/>
  <c r="AI413" i="47" s="1"/>
  <c r="AJ414" i="47"/>
  <c r="AJ377" i="47"/>
  <c r="AH376" i="47"/>
  <c r="AI376" i="47" s="1"/>
  <c r="AH230" i="47"/>
  <c r="AI230" i="47" s="1"/>
  <c r="AJ231" i="47"/>
  <c r="AK111" i="47"/>
  <c r="AJ329" i="47"/>
  <c r="AH328" i="47"/>
  <c r="AI328" i="47" s="1"/>
  <c r="AH430" i="47"/>
  <c r="AI430" i="47" s="1"/>
  <c r="AJ431" i="47"/>
  <c r="AK243" i="47"/>
  <c r="AH458" i="47"/>
  <c r="AI458" i="47" s="1"/>
  <c r="AJ459" i="47"/>
  <c r="AH366" i="47"/>
  <c r="AI366" i="47" s="1"/>
  <c r="AJ367" i="47"/>
  <c r="AJ106" i="47"/>
  <c r="AH105" i="47"/>
  <c r="AI105" i="47" s="1"/>
  <c r="AJ335" i="47"/>
  <c r="AH334" i="47"/>
  <c r="AI334" i="47" s="1"/>
  <c r="AJ216" i="47"/>
  <c r="AH215" i="47"/>
  <c r="AI215" i="47" s="1"/>
  <c r="AH88" i="47"/>
  <c r="AI88" i="47" s="1"/>
  <c r="AJ89" i="47"/>
  <c r="AH62" i="47"/>
  <c r="AI62" i="47" s="1"/>
  <c r="AJ63" i="47"/>
  <c r="AJ342" i="47"/>
  <c r="AH341" i="47"/>
  <c r="AI341" i="47" s="1"/>
  <c r="AK139" i="47"/>
  <c r="AK458" i="47"/>
  <c r="AH385" i="47"/>
  <c r="AI385" i="47" s="1"/>
  <c r="AJ386" i="47"/>
  <c r="AH451" i="47"/>
  <c r="AI451" i="47" s="1"/>
  <c r="AJ452" i="47"/>
  <c r="AH347" i="47"/>
  <c r="AI347" i="47" s="1"/>
  <c r="AJ348" i="47"/>
  <c r="AH405" i="47"/>
  <c r="AI405" i="47" s="1"/>
  <c r="AJ406" i="47"/>
  <c r="AH194" i="47"/>
  <c r="AI194" i="47" s="1"/>
  <c r="AJ195" i="47"/>
  <c r="AH79" i="47"/>
  <c r="AI79" i="47" s="1"/>
  <c r="AJ80" i="47"/>
  <c r="AK287" i="47"/>
  <c r="AH145" i="47"/>
  <c r="AI145" i="47" s="1"/>
  <c r="AJ146" i="47"/>
  <c r="AK466" i="47"/>
  <c r="AH58" i="47"/>
  <c r="AI58" i="47" s="1"/>
  <c r="AJ59" i="47"/>
  <c r="AJ415" i="47"/>
  <c r="AH414" i="47"/>
  <c r="AI414" i="47" s="1"/>
  <c r="AK329" i="47"/>
  <c r="AJ455" i="47"/>
  <c r="AH454" i="47"/>
  <c r="AI454" i="47" s="1"/>
  <c r="AH252" i="47"/>
  <c r="AI252" i="47" s="1"/>
  <c r="AJ253" i="47"/>
  <c r="AK77" i="47"/>
  <c r="AH57" i="47"/>
  <c r="AI57" i="47" s="1"/>
  <c r="AJ58" i="47"/>
  <c r="AK355" i="47"/>
  <c r="AH390" i="47"/>
  <c r="AI390" i="47" s="1"/>
  <c r="AJ391" i="47"/>
  <c r="AK436" i="47"/>
  <c r="AH178" i="47"/>
  <c r="AI178" i="47" s="1"/>
  <c r="AJ179" i="47"/>
  <c r="AJ411" i="47"/>
  <c r="AH410" i="47"/>
  <c r="AI410" i="47" s="1"/>
  <c r="AK411" i="47"/>
  <c r="AK82" i="47"/>
  <c r="AH287" i="47"/>
  <c r="AI287" i="47" s="1"/>
  <c r="AJ288" i="47"/>
  <c r="AH387" i="47"/>
  <c r="AI387" i="47" s="1"/>
  <c r="AJ388" i="47"/>
  <c r="AK133" i="47"/>
  <c r="AH246" i="47"/>
  <c r="AI246" i="47" s="1"/>
  <c r="AJ247" i="47"/>
  <c r="AJ412" i="47"/>
  <c r="AH411" i="47"/>
  <c r="AI411" i="47" s="1"/>
  <c r="AK124" i="47"/>
  <c r="AJ293" i="47"/>
  <c r="AH292" i="47"/>
  <c r="AI292" i="47" s="1"/>
  <c r="AK205" i="47"/>
  <c r="AJ213" i="47"/>
  <c r="AH212" i="47"/>
  <c r="AI212" i="47" s="1"/>
  <c r="AH380" i="47"/>
  <c r="AI380" i="47" s="1"/>
  <c r="AJ381" i="47"/>
  <c r="AH115" i="47"/>
  <c r="AI115" i="47" s="1"/>
  <c r="AJ116" i="47"/>
  <c r="AK286" i="47"/>
  <c r="AK148" i="47"/>
  <c r="AK156" i="47"/>
  <c r="AK207" i="47"/>
  <c r="AH90" i="47"/>
  <c r="AI90" i="47" s="1"/>
  <c r="AJ91" i="47"/>
  <c r="AK296" i="47"/>
  <c r="AK399" i="47"/>
  <c r="AK55" i="47"/>
  <c r="AH477" i="47"/>
  <c r="AI477" i="47" s="1"/>
  <c r="AJ478" i="47"/>
  <c r="AK300" i="47"/>
  <c r="AH201" i="47"/>
  <c r="AI201" i="47" s="1"/>
  <c r="AJ202" i="47"/>
  <c r="AH249" i="47"/>
  <c r="AI249" i="47" s="1"/>
  <c r="AJ250" i="47"/>
  <c r="AK294" i="47"/>
  <c r="AK297" i="47"/>
  <c r="AJ497" i="47"/>
  <c r="AH496" i="47"/>
  <c r="AI496" i="47" s="1"/>
  <c r="AK332" i="47"/>
  <c r="AH307" i="47"/>
  <c r="AI307" i="47" s="1"/>
  <c r="AJ308" i="47"/>
  <c r="AK193" i="47"/>
  <c r="AH61" i="47"/>
  <c r="AI61" i="47" s="1"/>
  <c r="AJ62" i="47"/>
  <c r="AH436" i="47"/>
  <c r="AI436" i="47" s="1"/>
  <c r="AJ437" i="47"/>
  <c r="AJ212" i="47"/>
  <c r="AH211" i="47"/>
  <c r="AI211" i="47" s="1"/>
  <c r="AJ309" i="47"/>
  <c r="AH308" i="47"/>
  <c r="AI308" i="47" s="1"/>
  <c r="AH259" i="47"/>
  <c r="AI259" i="47" s="1"/>
  <c r="AJ260" i="47"/>
  <c r="AH393" i="47"/>
  <c r="AI393" i="47" s="1"/>
  <c r="AJ394" i="47"/>
  <c r="AH335" i="47"/>
  <c r="AI335" i="47" s="1"/>
  <c r="AJ336" i="47"/>
  <c r="AJ159" i="47"/>
  <c r="AH158" i="47"/>
  <c r="AI158" i="47" s="1"/>
  <c r="AK468" i="47"/>
  <c r="AK371" i="47"/>
  <c r="AJ60" i="47"/>
  <c r="AH59" i="47"/>
  <c r="AI59" i="47" s="1"/>
  <c r="AJ314" i="47"/>
  <c r="AH313" i="47"/>
  <c r="AI313" i="47" s="1"/>
  <c r="AH472" i="47"/>
  <c r="AI472" i="47" s="1"/>
  <c r="AJ473" i="47"/>
  <c r="AK171" i="47"/>
  <c r="AK482" i="47"/>
  <c r="AH102" i="47"/>
  <c r="AI102" i="47" s="1"/>
  <c r="AJ103" i="47"/>
  <c r="AJ259" i="47"/>
  <c r="AH258" i="47"/>
  <c r="AI258" i="47" s="1"/>
  <c r="AJ264" i="47"/>
  <c r="AH263" i="47"/>
  <c r="AI263" i="47" s="1"/>
  <c r="AK285" i="47"/>
  <c r="AK386" i="47"/>
  <c r="AK331" i="47"/>
  <c r="AJ178" i="47"/>
  <c r="AH177" i="47"/>
  <c r="AI177" i="47" s="1"/>
  <c r="AJ487" i="47"/>
  <c r="AH486" i="47"/>
  <c r="AI486" i="47" s="1"/>
  <c r="AK347" i="47"/>
  <c r="AJ201" i="47"/>
  <c r="AH200" i="47"/>
  <c r="AI200" i="47" s="1"/>
  <c r="AK350" i="47"/>
  <c r="AH254" i="47"/>
  <c r="AI254" i="47" s="1"/>
  <c r="AJ255" i="47"/>
  <c r="AH85" i="47"/>
  <c r="AI85" i="47" s="1"/>
  <c r="AJ86" i="47"/>
  <c r="AK447" i="47"/>
  <c r="AK342" i="47"/>
  <c r="AJ229" i="47"/>
  <c r="AH228" i="47"/>
  <c r="AI228" i="47" s="1"/>
  <c r="AJ108" i="47"/>
  <c r="AH107" i="47"/>
  <c r="AI107" i="47" s="1"/>
  <c r="AK398" i="47"/>
  <c r="AH314" i="47"/>
  <c r="AI314" i="47" s="1"/>
  <c r="AJ315" i="47"/>
  <c r="AK115" i="47"/>
  <c r="AK370" i="47"/>
  <c r="AH278" i="47"/>
  <c r="AI278" i="47" s="1"/>
  <c r="AJ279" i="47"/>
  <c r="AK119" i="47"/>
  <c r="AK415" i="47"/>
  <c r="AK378" i="47"/>
  <c r="AK232" i="47"/>
  <c r="AK330" i="47"/>
  <c r="AK264" i="47"/>
  <c r="AK432" i="47"/>
  <c r="AH362" i="47"/>
  <c r="AI362" i="47" s="1"/>
  <c r="AJ363" i="47"/>
  <c r="AJ268" i="47"/>
  <c r="AH267" i="47"/>
  <c r="AI267" i="47" s="1"/>
  <c r="AK368" i="47"/>
  <c r="AK469" i="47"/>
  <c r="AK336" i="47"/>
  <c r="AK90" i="47"/>
  <c r="AK352" i="47"/>
  <c r="AJ198" i="47"/>
  <c r="AH197" i="47"/>
  <c r="AI197" i="47" s="1"/>
  <c r="AK64" i="47"/>
  <c r="AJ102" i="47"/>
  <c r="AH101" i="47"/>
  <c r="AI101" i="47" s="1"/>
  <c r="AK343" i="47"/>
  <c r="AH286" i="47"/>
  <c r="AI286" i="47" s="1"/>
  <c r="AJ287" i="47"/>
  <c r="AH161" i="47"/>
  <c r="AI161" i="47" s="1"/>
  <c r="AJ162" i="47"/>
  <c r="AK493" i="47"/>
  <c r="AJ345" i="47"/>
  <c r="AH344" i="47"/>
  <c r="AI344" i="47" s="1"/>
  <c r="AH275" i="47"/>
  <c r="AI275" i="47" s="1"/>
  <c r="AJ276" i="47"/>
  <c r="AH74" i="47"/>
  <c r="AI74" i="47" s="1"/>
  <c r="AJ75" i="47"/>
  <c r="AH56" i="47"/>
  <c r="AI56" i="47" s="1"/>
  <c r="AJ57" i="47"/>
  <c r="AJ269" i="47"/>
  <c r="AH269" i="47"/>
  <c r="AI269" i="47" s="1"/>
  <c r="AJ270" i="47"/>
  <c r="AJ184" i="47"/>
  <c r="AH183" i="47"/>
  <c r="AI183" i="47" s="1"/>
  <c r="AK67" i="47"/>
  <c r="AK349" i="47"/>
  <c r="AK81" i="47"/>
  <c r="AH360" i="47"/>
  <c r="AI360" i="47" s="1"/>
  <c r="AJ361" i="47"/>
  <c r="AK147" i="47"/>
  <c r="AK263" i="47"/>
  <c r="AK380" i="47"/>
  <c r="AK75" i="47"/>
  <c r="AK416" i="47"/>
  <c r="AK128" i="47"/>
  <c r="AK351" i="47"/>
  <c r="AK192" i="47"/>
  <c r="AK430" i="47"/>
  <c r="AK396" i="47"/>
  <c r="AJ271" i="47"/>
  <c r="AJ272" i="47"/>
  <c r="AH271" i="47"/>
  <c r="AI271" i="47" s="1"/>
  <c r="AK113" i="47"/>
  <c r="AK308" i="47"/>
  <c r="AK328" i="47"/>
  <c r="AH490" i="47"/>
  <c r="AI490" i="47" s="1"/>
  <c r="AJ491" i="47"/>
  <c r="AK354" i="47"/>
  <c r="AK221" i="47"/>
  <c r="AJ77" i="47"/>
  <c r="AH76" i="47"/>
  <c r="AI76" i="47" s="1"/>
  <c r="AH373" i="47"/>
  <c r="AI373" i="47" s="1"/>
  <c r="AJ374" i="47"/>
  <c r="AH435" i="47"/>
  <c r="AI435" i="47" s="1"/>
  <c r="AJ436" i="47"/>
  <c r="AK165" i="47"/>
  <c r="AH492" i="47"/>
  <c r="AI492" i="47" s="1"/>
  <c r="AJ493" i="47"/>
  <c r="AK402" i="47"/>
  <c r="AK461" i="47"/>
  <c r="AH443" i="47"/>
  <c r="AI443" i="47" s="1"/>
  <c r="AJ444" i="47"/>
  <c r="AH325" i="47"/>
  <c r="AI325" i="47" s="1"/>
  <c r="AJ326" i="47"/>
  <c r="AK151" i="47"/>
  <c r="AK463" i="47"/>
  <c r="AJ56" i="47"/>
  <c r="AH55" i="47"/>
  <c r="AI55" i="47" s="1"/>
  <c r="AK130" i="47"/>
  <c r="AK239" i="47"/>
  <c r="AK126" i="47"/>
  <c r="AK52" i="47"/>
  <c r="AH382" i="47"/>
  <c r="AI382" i="47" s="1"/>
  <c r="AJ383" i="47"/>
  <c r="AH284" i="47"/>
  <c r="AI284" i="47" s="1"/>
  <c r="AJ285" i="47"/>
  <c r="AH497" i="47"/>
  <c r="AI497" i="47" s="1"/>
  <c r="AJ498" i="47"/>
  <c r="AJ340" i="47"/>
  <c r="AH339" i="47"/>
  <c r="AI339" i="47" s="1"/>
  <c r="AJ320" i="47"/>
  <c r="AH319" i="47"/>
  <c r="AI319" i="47" s="1"/>
  <c r="AH154" i="47"/>
  <c r="AI154" i="47" s="1"/>
  <c r="AJ155" i="47"/>
  <c r="AJ206" i="47"/>
  <c r="AH205" i="47"/>
  <c r="AI205" i="47" s="1"/>
  <c r="AK92" i="47"/>
  <c r="AK471" i="47"/>
  <c r="AH202" i="47"/>
  <c r="AI202" i="47" s="1"/>
  <c r="AJ203" i="47"/>
  <c r="AH245" i="47"/>
  <c r="AI245" i="47" s="1"/>
  <c r="AJ246" i="47"/>
  <c r="AH53" i="47"/>
  <c r="AI53" i="47" s="1"/>
  <c r="AJ54" i="47"/>
  <c r="AK203" i="47"/>
  <c r="AK322" i="47"/>
  <c r="AH81" i="47"/>
  <c r="AI81" i="47" s="1"/>
  <c r="AJ82" i="47"/>
  <c r="AJ324" i="47"/>
  <c r="AH323" i="47"/>
  <c r="AI323" i="47" s="1"/>
  <c r="AK251" i="47"/>
  <c r="AK366" i="47"/>
  <c r="AH151" i="47"/>
  <c r="AI151" i="47" s="1"/>
  <c r="AJ152" i="47"/>
  <c r="AK498" i="47"/>
  <c r="AK309" i="47"/>
  <c r="AH159" i="47"/>
  <c r="AI159" i="47" s="1"/>
  <c r="AJ160" i="47"/>
  <c r="AH487" i="47"/>
  <c r="AI487" i="47" s="1"/>
  <c r="AJ488" i="47"/>
  <c r="AJ371" i="47"/>
  <c r="AH370" i="47"/>
  <c r="AI370" i="47" s="1"/>
  <c r="AH231" i="47"/>
  <c r="AI231" i="47" s="1"/>
  <c r="AJ232" i="47"/>
  <c r="AK261" i="47"/>
  <c r="AH120" i="47"/>
  <c r="AI120" i="47" s="1"/>
  <c r="AJ121" i="47"/>
  <c r="AK395" i="47"/>
  <c r="AK337" i="47"/>
  <c r="AH369" i="47"/>
  <c r="AI369" i="47" s="1"/>
  <c r="AJ370" i="47"/>
  <c r="AK197" i="47"/>
  <c r="AK61" i="47"/>
  <c r="AK315" i="47"/>
  <c r="AK86" i="47"/>
  <c r="AJ332" i="47"/>
  <c r="AH331" i="47"/>
  <c r="AI331" i="47" s="1"/>
  <c r="AH229" i="47"/>
  <c r="AI229" i="47" s="1"/>
  <c r="AJ230" i="47"/>
  <c r="AH170" i="47"/>
  <c r="AI170" i="47" s="1"/>
  <c r="AJ171" i="47"/>
  <c r="AK474" i="47"/>
  <c r="AJ380" i="47"/>
  <c r="AH379" i="47"/>
  <c r="AI379" i="47" s="1"/>
  <c r="AH207" i="47"/>
  <c r="AI207" i="47" s="1"/>
  <c r="AJ208" i="47"/>
  <c r="AH169" i="47"/>
  <c r="AI169" i="47" s="1"/>
  <c r="AJ170" i="47"/>
  <c r="AH417" i="47"/>
  <c r="AI417" i="47" s="1"/>
  <c r="AJ418" i="47"/>
  <c r="AK201" i="47"/>
  <c r="AK104" i="47"/>
  <c r="AH392" i="47"/>
  <c r="AI392" i="47" s="1"/>
  <c r="AJ393" i="47"/>
  <c r="AK260" i="47"/>
  <c r="AH333" i="47"/>
  <c r="AI333" i="47" s="1"/>
  <c r="AJ334" i="47"/>
  <c r="AH283" i="47"/>
  <c r="AI283" i="47" s="1"/>
  <c r="AJ284" i="47"/>
  <c r="AH384" i="47"/>
  <c r="AI384" i="47" s="1"/>
  <c r="AJ385" i="47"/>
  <c r="AK202" i="47"/>
  <c r="AK68" i="47"/>
  <c r="AK49" i="47"/>
  <c r="AI51" i="47"/>
  <c r="AK42" i="47"/>
  <c r="AJ45" i="47"/>
  <c r="AJ43" i="47"/>
  <c r="AH42" i="47"/>
  <c r="AI42" i="47" s="1"/>
  <c r="AH37" i="47"/>
  <c r="AJ38" i="47"/>
  <c r="AH41" i="47"/>
  <c r="AI41" i="47" s="1"/>
  <c r="AJ41" i="47"/>
  <c r="AJ42" i="47"/>
  <c r="AK44" i="47"/>
  <c r="AK46" i="47"/>
  <c r="AK51" i="47"/>
  <c r="AK50" i="47"/>
  <c r="AH38" i="47"/>
  <c r="AI38" i="47" s="1"/>
  <c r="AJ39" i="47"/>
  <c r="AK41" i="47"/>
  <c r="AH49" i="47"/>
  <c r="AI49" i="47" s="1"/>
  <c r="AJ50" i="47"/>
  <c r="AJ49" i="47"/>
  <c r="AH46" i="47"/>
  <c r="AI46" i="47" s="1"/>
  <c r="AJ47" i="47"/>
  <c r="AH39" i="47"/>
  <c r="AI39" i="47" s="1"/>
  <c r="AJ40" i="47"/>
  <c r="AK47" i="47"/>
  <c r="AJ44" i="47"/>
  <c r="AH43" i="47"/>
  <c r="AI43" i="47" s="1"/>
  <c r="AK48" i="47"/>
  <c r="AH47" i="47"/>
  <c r="AI47" i="47" s="1"/>
  <c r="AJ48" i="47"/>
  <c r="AK45" i="47"/>
  <c r="AK39" i="47"/>
  <c r="AK38" i="47"/>
  <c r="AK43" i="47"/>
  <c r="AH45" i="47"/>
  <c r="AI45" i="47" s="1"/>
  <c r="AJ46" i="47"/>
  <c r="AK40" i="47"/>
  <c r="AQ4" i="47"/>
  <c r="AT3" i="47"/>
  <c r="AP3" i="47" s="1"/>
  <c r="AI2" i="47"/>
  <c r="AJ21" i="21"/>
  <c r="R2" i="26"/>
  <c r="AJ13" i="21"/>
  <c r="AI22" i="21"/>
  <c r="AJ25" i="21"/>
  <c r="AJ14" i="21"/>
  <c r="AJ22" i="21"/>
  <c r="AJ15" i="21"/>
  <c r="AI24" i="21"/>
  <c r="AJ16" i="21"/>
  <c r="AI25" i="21"/>
  <c r="E14" i="17"/>
  <c r="AJ10" i="21"/>
  <c r="AJ9" i="21"/>
  <c r="AJ20" i="21"/>
  <c r="AJ24" i="21"/>
  <c r="AI23" i="21"/>
  <c r="AJ23" i="21"/>
  <c r="S4" i="26"/>
  <c r="T3" i="26"/>
  <c r="R3" i="26"/>
  <c r="F6" i="17"/>
  <c r="D7" i="17"/>
  <c r="AJ17" i="21"/>
  <c r="AJ18" i="21"/>
  <c r="AJ11" i="21"/>
  <c r="AJ19" i="21"/>
  <c r="AJ12" i="21"/>
  <c r="S38" i="26"/>
  <c r="S5" i="22" l="1"/>
  <c r="AB27" i="21"/>
  <c r="AL91" i="21"/>
  <c r="AK100" i="21"/>
  <c r="AK97" i="21"/>
  <c r="AK58" i="21"/>
  <c r="AK31" i="21"/>
  <c r="AK79" i="21"/>
  <c r="AL78" i="21"/>
  <c r="AK83" i="21"/>
  <c r="AK75" i="21"/>
  <c r="AL51" i="21"/>
  <c r="AL63" i="21"/>
  <c r="AL35" i="21"/>
  <c r="AL86" i="21"/>
  <c r="AL59" i="21"/>
  <c r="AK26" i="21"/>
  <c r="AL37" i="21"/>
  <c r="AL97" i="21"/>
  <c r="AK37" i="21"/>
  <c r="AK91" i="21"/>
  <c r="AK88" i="21"/>
  <c r="AK35" i="21"/>
  <c r="AL83" i="21"/>
  <c r="AL75" i="21"/>
  <c r="AL31" i="21"/>
  <c r="AK61" i="21"/>
  <c r="AK42" i="21"/>
  <c r="AK80" i="21"/>
  <c r="AL67" i="21"/>
  <c r="AK56" i="21"/>
  <c r="AL49" i="21"/>
  <c r="AL42" i="21"/>
  <c r="AK72" i="21"/>
  <c r="AL65" i="21"/>
  <c r="AK30" i="21"/>
  <c r="AL33" i="21"/>
  <c r="AK51" i="21"/>
  <c r="AK73" i="21"/>
  <c r="AL57" i="21"/>
  <c r="AL74" i="21"/>
  <c r="AL39" i="21"/>
  <c r="AL88" i="21"/>
  <c r="AL99" i="21"/>
  <c r="AK39" i="21"/>
  <c r="AL101" i="21"/>
  <c r="AL47" i="21"/>
  <c r="AL41" i="21"/>
  <c r="AK101" i="21"/>
  <c r="AL95" i="21"/>
  <c r="AL73" i="21"/>
  <c r="AK41" i="21"/>
  <c r="AL93" i="21"/>
  <c r="AK55" i="21"/>
  <c r="AL92" i="21"/>
  <c r="AL77" i="21"/>
  <c r="AL36" i="21"/>
  <c r="AK85" i="21"/>
  <c r="AK70" i="21"/>
  <c r="AK63" i="21"/>
  <c r="AK52" i="21"/>
  <c r="AL84" i="21"/>
  <c r="AL98" i="21"/>
  <c r="AK81" i="21"/>
  <c r="AK95" i="21"/>
  <c r="AL76" i="21"/>
  <c r="AK34" i="21"/>
  <c r="AL29" i="21"/>
  <c r="AL79" i="21"/>
  <c r="AK82" i="21"/>
  <c r="AK78" i="21"/>
  <c r="AL45" i="21"/>
  <c r="AL89" i="21"/>
  <c r="AL70" i="21"/>
  <c r="AK84" i="21"/>
  <c r="AK67" i="21"/>
  <c r="AL81" i="21"/>
  <c r="AK33" i="21"/>
  <c r="AK76" i="21"/>
  <c r="AL58" i="21"/>
  <c r="AL55" i="21"/>
  <c r="AK29" i="21"/>
  <c r="AK92" i="21"/>
  <c r="AL62" i="21"/>
  <c r="AK48" i="21"/>
  <c r="AL26" i="21"/>
  <c r="AK71" i="21"/>
  <c r="AG73" i="21" s="1"/>
  <c r="AK64" i="21"/>
  <c r="AL53" i="21"/>
  <c r="AK94" i="21"/>
  <c r="AL54" i="21"/>
  <c r="AL44" i="21"/>
  <c r="AL50" i="21"/>
  <c r="AK93" i="21"/>
  <c r="AG95" i="21" s="1"/>
  <c r="AL68" i="21"/>
  <c r="AL71" i="21"/>
  <c r="AK46" i="21"/>
  <c r="AL64" i="21"/>
  <c r="AL69" i="21"/>
  <c r="AK65" i="21"/>
  <c r="AK32" i="21"/>
  <c r="AL27" i="21"/>
  <c r="AL94" i="21"/>
  <c r="AK53" i="21"/>
  <c r="AK86" i="21"/>
  <c r="AL34" i="21"/>
  <c r="AK90" i="21"/>
  <c r="AG92" i="21" s="1"/>
  <c r="AL46" i="21"/>
  <c r="AK28" i="21"/>
  <c r="AG30" i="21" s="1"/>
  <c r="AL90" i="21"/>
  <c r="AK38" i="21"/>
  <c r="AL72" i="21"/>
  <c r="AH76" i="21" s="1"/>
  <c r="AK66" i="21"/>
  <c r="AK54" i="21"/>
  <c r="AL85" i="21"/>
  <c r="AL32" i="21"/>
  <c r="AL56" i="21"/>
  <c r="AL52" i="21"/>
  <c r="AK74" i="21"/>
  <c r="AK49" i="21"/>
  <c r="AL38" i="21"/>
  <c r="AL28" i="21"/>
  <c r="AL100" i="21"/>
  <c r="AL66" i="21"/>
  <c r="AK36" i="21"/>
  <c r="AK47" i="21"/>
  <c r="AK59" i="21"/>
  <c r="AK98" i="21"/>
  <c r="AL60" i="21"/>
  <c r="AL43" i="21"/>
  <c r="AL87" i="21"/>
  <c r="AL48" i="21"/>
  <c r="AL96" i="21"/>
  <c r="AK27" i="21"/>
  <c r="AK77" i="21"/>
  <c r="AK89" i="21"/>
  <c r="AK57" i="21"/>
  <c r="AK87" i="21"/>
  <c r="AL80" i="21"/>
  <c r="AK40" i="21"/>
  <c r="AG42" i="21" s="1"/>
  <c r="AL61" i="21"/>
  <c r="AK60" i="21"/>
  <c r="AK43" i="21"/>
  <c r="AL30" i="21"/>
  <c r="AH34" i="21" s="1"/>
  <c r="AK44" i="21"/>
  <c r="AK50" i="21"/>
  <c r="AK68" i="21"/>
  <c r="AK69" i="21"/>
  <c r="AK45" i="21"/>
  <c r="AK96" i="21"/>
  <c r="AK99" i="21"/>
  <c r="AG101" i="21" s="1"/>
  <c r="AL82" i="21"/>
  <c r="AK62" i="21"/>
  <c r="AL40" i="21"/>
  <c r="H39" i="49"/>
  <c r="B39" i="49"/>
  <c r="C40" i="49"/>
  <c r="D38" i="49"/>
  <c r="E38" i="49" s="1"/>
  <c r="I38" i="49"/>
  <c r="AO3" i="47"/>
  <c r="AQ5" i="47"/>
  <c r="AT4" i="47"/>
  <c r="AP4" i="47" s="1"/>
  <c r="AR3" i="47"/>
  <c r="AR4" i="47" s="1"/>
  <c r="AR5" i="47" s="1"/>
  <c r="AR6" i="47" s="1"/>
  <c r="AR7" i="47" s="1"/>
  <c r="AR8" i="47" s="1"/>
  <c r="AR9" i="47" s="1"/>
  <c r="AR10" i="47" s="1"/>
  <c r="AR11" i="47" s="1"/>
  <c r="AR12" i="47" s="1"/>
  <c r="AR13" i="47" s="1"/>
  <c r="AR14" i="47" s="1"/>
  <c r="AR15" i="47" s="1"/>
  <c r="AR16" i="47" s="1"/>
  <c r="AR17" i="47" s="1"/>
  <c r="AR18" i="47" s="1"/>
  <c r="AR19" i="47" s="1"/>
  <c r="AR20" i="47" s="1"/>
  <c r="AR21" i="47" s="1"/>
  <c r="AR22" i="47" s="1"/>
  <c r="AR23" i="47" s="1"/>
  <c r="AR24" i="47" s="1"/>
  <c r="AR25" i="47" s="1"/>
  <c r="AR26" i="47" s="1"/>
  <c r="AR27" i="47" s="1"/>
  <c r="AR28" i="47" s="1"/>
  <c r="AR29" i="47" s="1"/>
  <c r="AR30" i="47" s="1"/>
  <c r="AR31" i="47" s="1"/>
  <c r="AR32" i="47" s="1"/>
  <c r="AR33" i="47" s="1"/>
  <c r="AR34" i="47" s="1"/>
  <c r="AR35" i="47" s="1"/>
  <c r="AR36" i="47" s="1"/>
  <c r="AR37" i="47" s="1"/>
  <c r="AR38" i="47" s="1"/>
  <c r="AR39" i="47" s="1"/>
  <c r="AR40" i="47" s="1"/>
  <c r="AR41" i="47" s="1"/>
  <c r="AR42" i="47" s="1"/>
  <c r="AR43" i="47" s="1"/>
  <c r="AR44" i="47" s="1"/>
  <c r="AR45" i="47" s="1"/>
  <c r="AR46" i="47" s="1"/>
  <c r="AR47" i="47" s="1"/>
  <c r="AR48" i="47" s="1"/>
  <c r="AR49" i="47" s="1"/>
  <c r="AR50" i="47" s="1"/>
  <c r="AR51" i="47" s="1"/>
  <c r="AR52" i="47" s="1"/>
  <c r="AR53" i="47" s="1"/>
  <c r="AR54" i="47" s="1"/>
  <c r="AR55" i="47" s="1"/>
  <c r="AR56" i="47" s="1"/>
  <c r="AR57" i="47" s="1"/>
  <c r="AR58" i="47" s="1"/>
  <c r="AR59" i="47" s="1"/>
  <c r="AR60" i="47" s="1"/>
  <c r="AR61" i="47" s="1"/>
  <c r="AR62" i="47" s="1"/>
  <c r="AR63" i="47" s="1"/>
  <c r="AR64" i="47" s="1"/>
  <c r="AR65" i="47" s="1"/>
  <c r="AR66" i="47" s="1"/>
  <c r="AR67" i="47" s="1"/>
  <c r="AR68" i="47" s="1"/>
  <c r="AR69" i="47" s="1"/>
  <c r="AR70" i="47" s="1"/>
  <c r="AR71" i="47" s="1"/>
  <c r="AR72" i="47" s="1"/>
  <c r="AR73" i="47" s="1"/>
  <c r="AR74" i="47" s="1"/>
  <c r="AR75" i="47" s="1"/>
  <c r="AR76" i="47" s="1"/>
  <c r="AR77" i="47" s="1"/>
  <c r="AR78" i="47" s="1"/>
  <c r="AR79" i="47" s="1"/>
  <c r="AR80" i="47" s="1"/>
  <c r="AR81" i="47" s="1"/>
  <c r="AR82" i="47" s="1"/>
  <c r="AR83" i="47" s="1"/>
  <c r="AR84" i="47" s="1"/>
  <c r="AR85" i="47" s="1"/>
  <c r="AR86" i="47" s="1"/>
  <c r="AR87" i="47" s="1"/>
  <c r="AR88" i="47" s="1"/>
  <c r="AR89" i="47" s="1"/>
  <c r="AR90" i="47" s="1"/>
  <c r="AR91" i="47" s="1"/>
  <c r="AR92" i="47" s="1"/>
  <c r="AR93" i="47" s="1"/>
  <c r="AR94" i="47" s="1"/>
  <c r="AR95" i="47" s="1"/>
  <c r="AR96" i="47" s="1"/>
  <c r="AR97" i="47" s="1"/>
  <c r="AR98" i="47" s="1"/>
  <c r="AR99" i="47" s="1"/>
  <c r="AR100" i="47" s="1"/>
  <c r="AR101" i="47" s="1"/>
  <c r="AR102" i="47" s="1"/>
  <c r="AR103" i="47" s="1"/>
  <c r="AR104" i="47" s="1"/>
  <c r="AR105" i="47" s="1"/>
  <c r="AR106" i="47" s="1"/>
  <c r="AR107" i="47" s="1"/>
  <c r="AR108" i="47" s="1"/>
  <c r="AR109" i="47" s="1"/>
  <c r="AR110" i="47" s="1"/>
  <c r="AR111" i="47" s="1"/>
  <c r="AR112" i="47" s="1"/>
  <c r="AR113" i="47" s="1"/>
  <c r="AR114" i="47" s="1"/>
  <c r="AR115" i="47" s="1"/>
  <c r="AR116" i="47" s="1"/>
  <c r="AR117" i="47" s="1"/>
  <c r="AR118" i="47" s="1"/>
  <c r="AR119" i="47" s="1"/>
  <c r="AR120" i="47" s="1"/>
  <c r="AR121" i="47" s="1"/>
  <c r="AR122" i="47" s="1"/>
  <c r="AR123" i="47" s="1"/>
  <c r="AR124" i="47" s="1"/>
  <c r="AR125" i="47" s="1"/>
  <c r="AR126" i="47" s="1"/>
  <c r="AR127" i="47" s="1"/>
  <c r="AR128" i="47" s="1"/>
  <c r="AR129" i="47" s="1"/>
  <c r="AR130" i="47" s="1"/>
  <c r="AR131" i="47" s="1"/>
  <c r="AR132" i="47" s="1"/>
  <c r="AR133" i="47" s="1"/>
  <c r="AR134" i="47" s="1"/>
  <c r="AR135" i="47" s="1"/>
  <c r="AR136" i="47" s="1"/>
  <c r="AR137" i="47" s="1"/>
  <c r="AR138" i="47" s="1"/>
  <c r="AR139" i="47" s="1"/>
  <c r="AR140" i="47" s="1"/>
  <c r="AR141" i="47" s="1"/>
  <c r="AR142" i="47" s="1"/>
  <c r="AR143" i="47" s="1"/>
  <c r="AR144" i="47" s="1"/>
  <c r="AR145" i="47" s="1"/>
  <c r="AR146" i="47" s="1"/>
  <c r="AR147" i="47" s="1"/>
  <c r="AR148" i="47" s="1"/>
  <c r="AR149" i="47" s="1"/>
  <c r="AR150" i="47" s="1"/>
  <c r="AR151" i="47" s="1"/>
  <c r="AR152" i="47" s="1"/>
  <c r="AR153" i="47" s="1"/>
  <c r="AR154" i="47" s="1"/>
  <c r="AR155" i="47" s="1"/>
  <c r="AR156" i="47" s="1"/>
  <c r="AR157" i="47" s="1"/>
  <c r="AR158" i="47" s="1"/>
  <c r="AR159" i="47" s="1"/>
  <c r="AR160" i="47" s="1"/>
  <c r="AR161" i="47" s="1"/>
  <c r="AR162" i="47" s="1"/>
  <c r="AR163" i="47" s="1"/>
  <c r="AR164" i="47" s="1"/>
  <c r="AR165" i="47" s="1"/>
  <c r="AR166" i="47" s="1"/>
  <c r="AR167" i="47" s="1"/>
  <c r="AR168" i="47" s="1"/>
  <c r="AR169" i="47" s="1"/>
  <c r="AR170" i="47" s="1"/>
  <c r="AR171" i="47" s="1"/>
  <c r="AR172" i="47" s="1"/>
  <c r="AR173" i="47" s="1"/>
  <c r="AR174" i="47" s="1"/>
  <c r="AR175" i="47" s="1"/>
  <c r="AR176" i="47" s="1"/>
  <c r="AR177" i="47" s="1"/>
  <c r="AR178" i="47" s="1"/>
  <c r="AR179" i="47" s="1"/>
  <c r="AR180" i="47" s="1"/>
  <c r="AR181" i="47" s="1"/>
  <c r="AR182" i="47" s="1"/>
  <c r="AR183" i="47" s="1"/>
  <c r="AR184" i="47" s="1"/>
  <c r="AR185" i="47" s="1"/>
  <c r="AR186" i="47" s="1"/>
  <c r="AR187" i="47" s="1"/>
  <c r="AR188" i="47" s="1"/>
  <c r="AR189" i="47" s="1"/>
  <c r="AR190" i="47" s="1"/>
  <c r="AR191" i="47" s="1"/>
  <c r="AR192" i="47" s="1"/>
  <c r="AR193" i="47" s="1"/>
  <c r="AR194" i="47" s="1"/>
  <c r="AR195" i="47" s="1"/>
  <c r="AR196" i="47" s="1"/>
  <c r="AR197" i="47" s="1"/>
  <c r="AR198" i="47" s="1"/>
  <c r="AR199" i="47" s="1"/>
  <c r="AR200" i="47" s="1"/>
  <c r="AR201" i="47" s="1"/>
  <c r="AR202" i="47" s="1"/>
  <c r="AR203" i="47" s="1"/>
  <c r="AR204" i="47" s="1"/>
  <c r="AR205" i="47" s="1"/>
  <c r="AR206" i="47" s="1"/>
  <c r="AR207" i="47" s="1"/>
  <c r="AR208" i="47" s="1"/>
  <c r="AR209" i="47" s="1"/>
  <c r="AR210" i="47" s="1"/>
  <c r="AR211" i="47" s="1"/>
  <c r="AR212" i="47" s="1"/>
  <c r="AR213" i="47" s="1"/>
  <c r="AR214" i="47" s="1"/>
  <c r="AR215" i="47" s="1"/>
  <c r="AR216" i="47" s="1"/>
  <c r="AR217" i="47" s="1"/>
  <c r="AR218" i="47" s="1"/>
  <c r="AR219" i="47" s="1"/>
  <c r="AR220" i="47" s="1"/>
  <c r="AR221" i="47" s="1"/>
  <c r="AR222" i="47" s="1"/>
  <c r="AR223" i="47" s="1"/>
  <c r="AR224" i="47" s="1"/>
  <c r="AR225" i="47" s="1"/>
  <c r="AR226" i="47" s="1"/>
  <c r="AR227" i="47" s="1"/>
  <c r="AR228" i="47" s="1"/>
  <c r="AR229" i="47" s="1"/>
  <c r="AR230" i="47" s="1"/>
  <c r="AR231" i="47" s="1"/>
  <c r="AR232" i="47" s="1"/>
  <c r="AR233" i="47" s="1"/>
  <c r="AR234" i="47" s="1"/>
  <c r="AR235" i="47" s="1"/>
  <c r="AR236" i="47" s="1"/>
  <c r="AR237" i="47" s="1"/>
  <c r="AR238" i="47" s="1"/>
  <c r="AR239" i="47" s="1"/>
  <c r="AR240" i="47" s="1"/>
  <c r="AR241" i="47" s="1"/>
  <c r="AR242" i="47" s="1"/>
  <c r="AR243" i="47" s="1"/>
  <c r="AR244" i="47" s="1"/>
  <c r="AR245" i="47" s="1"/>
  <c r="AR246" i="47" s="1"/>
  <c r="AR247" i="47" s="1"/>
  <c r="AR248" i="47" s="1"/>
  <c r="AR249" i="47" s="1"/>
  <c r="AR250" i="47" s="1"/>
  <c r="AR251" i="47" s="1"/>
  <c r="AR252" i="47" s="1"/>
  <c r="AR253" i="47" s="1"/>
  <c r="AR254" i="47" s="1"/>
  <c r="AR255" i="47" s="1"/>
  <c r="AR256" i="47" s="1"/>
  <c r="AR257" i="47" s="1"/>
  <c r="AR258" i="47" s="1"/>
  <c r="AR259" i="47" s="1"/>
  <c r="AR260" i="47" s="1"/>
  <c r="AR261" i="47" s="1"/>
  <c r="AR262" i="47" s="1"/>
  <c r="AR263" i="47" s="1"/>
  <c r="AR264" i="47" s="1"/>
  <c r="AR265" i="47" s="1"/>
  <c r="AR266" i="47" s="1"/>
  <c r="AR267" i="47" s="1"/>
  <c r="AR268" i="47" s="1"/>
  <c r="AR269" i="47" s="1"/>
  <c r="AR270" i="47" s="1"/>
  <c r="AR271" i="47" s="1"/>
  <c r="AR272" i="47" s="1"/>
  <c r="AR273" i="47" s="1"/>
  <c r="AR274" i="47" s="1"/>
  <c r="AR275" i="47" s="1"/>
  <c r="AR276" i="47" s="1"/>
  <c r="AR277" i="47" s="1"/>
  <c r="AR278" i="47" s="1"/>
  <c r="AR279" i="47" s="1"/>
  <c r="AR280" i="47" s="1"/>
  <c r="AR281" i="47" s="1"/>
  <c r="AR282" i="47" s="1"/>
  <c r="AR283" i="47" s="1"/>
  <c r="AR284" i="47" s="1"/>
  <c r="AR285" i="47" s="1"/>
  <c r="AR286" i="47" s="1"/>
  <c r="AR287" i="47" s="1"/>
  <c r="AR288" i="47" s="1"/>
  <c r="AR289" i="47" s="1"/>
  <c r="AR290" i="47" s="1"/>
  <c r="AR291" i="47" s="1"/>
  <c r="AR292" i="47" s="1"/>
  <c r="AR293" i="47" s="1"/>
  <c r="AR294" i="47" s="1"/>
  <c r="AR295" i="47" s="1"/>
  <c r="AR296" i="47" s="1"/>
  <c r="AR297" i="47" s="1"/>
  <c r="AR298" i="47" s="1"/>
  <c r="AR299" i="47" s="1"/>
  <c r="AR300" i="47" s="1"/>
  <c r="AR301" i="47" s="1"/>
  <c r="AR302" i="47" s="1"/>
  <c r="AR303" i="47" s="1"/>
  <c r="AR304" i="47" s="1"/>
  <c r="AR305" i="47" s="1"/>
  <c r="AR306" i="47" s="1"/>
  <c r="AR307" i="47" s="1"/>
  <c r="AR308" i="47" s="1"/>
  <c r="AR309" i="47" s="1"/>
  <c r="AR310" i="47" s="1"/>
  <c r="AR311" i="47" s="1"/>
  <c r="AR312" i="47" s="1"/>
  <c r="AR313" i="47" s="1"/>
  <c r="AR314" i="47" s="1"/>
  <c r="AR315" i="47" s="1"/>
  <c r="AR316" i="47" s="1"/>
  <c r="AR317" i="47" s="1"/>
  <c r="AR318" i="47" s="1"/>
  <c r="AR319" i="47" s="1"/>
  <c r="AR320" i="47" s="1"/>
  <c r="AR321" i="47" s="1"/>
  <c r="AR322" i="47" s="1"/>
  <c r="AR323" i="47" s="1"/>
  <c r="AR324" i="47" s="1"/>
  <c r="AR325" i="47" s="1"/>
  <c r="AR326" i="47" s="1"/>
  <c r="AR327" i="47" s="1"/>
  <c r="AR328" i="47" s="1"/>
  <c r="AR329" i="47" s="1"/>
  <c r="AR330" i="47" s="1"/>
  <c r="AR331" i="47" s="1"/>
  <c r="AR332" i="47" s="1"/>
  <c r="AR333" i="47" s="1"/>
  <c r="AR334" i="47" s="1"/>
  <c r="AR335" i="47" s="1"/>
  <c r="AR336" i="47" s="1"/>
  <c r="AR337" i="47" s="1"/>
  <c r="AR338" i="47" s="1"/>
  <c r="AR339" i="47" s="1"/>
  <c r="AR340" i="47" s="1"/>
  <c r="AR341" i="47" s="1"/>
  <c r="AR342" i="47" s="1"/>
  <c r="AR343" i="47" s="1"/>
  <c r="AR344" i="47" s="1"/>
  <c r="AR345" i="47" s="1"/>
  <c r="AR346" i="47" s="1"/>
  <c r="AR347" i="47" s="1"/>
  <c r="AR348" i="47" s="1"/>
  <c r="AR349" i="47" s="1"/>
  <c r="AR350" i="47" s="1"/>
  <c r="AR351" i="47" s="1"/>
  <c r="AR352" i="47" s="1"/>
  <c r="AR353" i="47" s="1"/>
  <c r="AR354" i="47" s="1"/>
  <c r="AR355" i="47" s="1"/>
  <c r="AR356" i="47" s="1"/>
  <c r="AR357" i="47" s="1"/>
  <c r="AR358" i="47" s="1"/>
  <c r="AR359" i="47" s="1"/>
  <c r="AR360" i="47" s="1"/>
  <c r="AR361" i="47" s="1"/>
  <c r="AR362" i="47" s="1"/>
  <c r="AR363" i="47" s="1"/>
  <c r="AR364" i="47" s="1"/>
  <c r="AR365" i="47" s="1"/>
  <c r="AR366" i="47" s="1"/>
  <c r="AR367" i="47" s="1"/>
  <c r="AR368" i="47" s="1"/>
  <c r="AR369" i="47" s="1"/>
  <c r="AR370" i="47" s="1"/>
  <c r="AR371" i="47" s="1"/>
  <c r="AR372" i="47" s="1"/>
  <c r="AR373" i="47" s="1"/>
  <c r="AR374" i="47" s="1"/>
  <c r="AR375" i="47" s="1"/>
  <c r="AR376" i="47" s="1"/>
  <c r="AR377" i="47" s="1"/>
  <c r="AR378" i="47" s="1"/>
  <c r="AR379" i="47" s="1"/>
  <c r="AR380" i="47" s="1"/>
  <c r="AR381" i="47" s="1"/>
  <c r="AR382" i="47" s="1"/>
  <c r="AR383" i="47" s="1"/>
  <c r="AR384" i="47" s="1"/>
  <c r="AR385" i="47" s="1"/>
  <c r="AR386" i="47" s="1"/>
  <c r="AR387" i="47" s="1"/>
  <c r="AR388" i="47" s="1"/>
  <c r="AR389" i="47" s="1"/>
  <c r="AR390" i="47" s="1"/>
  <c r="AR391" i="47" s="1"/>
  <c r="AR392" i="47" s="1"/>
  <c r="AR393" i="47" s="1"/>
  <c r="AR394" i="47" s="1"/>
  <c r="AR395" i="47" s="1"/>
  <c r="AR396" i="47" s="1"/>
  <c r="AR397" i="47" s="1"/>
  <c r="AR398" i="47" s="1"/>
  <c r="AR399" i="47" s="1"/>
  <c r="AR400" i="47" s="1"/>
  <c r="AR401" i="47" s="1"/>
  <c r="AR402" i="47" s="1"/>
  <c r="AR403" i="47" s="1"/>
  <c r="AR404" i="47" s="1"/>
  <c r="AR405" i="47" s="1"/>
  <c r="AR406" i="47" s="1"/>
  <c r="AR407" i="47" s="1"/>
  <c r="AR408" i="47" s="1"/>
  <c r="AR409" i="47" s="1"/>
  <c r="AR410" i="47" s="1"/>
  <c r="AR411" i="47" s="1"/>
  <c r="AR412" i="47" s="1"/>
  <c r="AR413" i="47" s="1"/>
  <c r="AR414" i="47" s="1"/>
  <c r="AR415" i="47" s="1"/>
  <c r="AR416" i="47" s="1"/>
  <c r="AR417" i="47" s="1"/>
  <c r="AR418" i="47" s="1"/>
  <c r="AR419" i="47" s="1"/>
  <c r="AR420" i="47" s="1"/>
  <c r="AR421" i="47" s="1"/>
  <c r="AR422" i="47" s="1"/>
  <c r="AR423" i="47" s="1"/>
  <c r="AR424" i="47" s="1"/>
  <c r="AR425" i="47" s="1"/>
  <c r="AR426" i="47" s="1"/>
  <c r="AR427" i="47" s="1"/>
  <c r="AR428" i="47" s="1"/>
  <c r="AR429" i="47" s="1"/>
  <c r="AR430" i="47" s="1"/>
  <c r="AR431" i="47" s="1"/>
  <c r="AR432" i="47" s="1"/>
  <c r="AR433" i="47" s="1"/>
  <c r="AR434" i="47" s="1"/>
  <c r="AR435" i="47" s="1"/>
  <c r="AR436" i="47" s="1"/>
  <c r="AR437" i="47" s="1"/>
  <c r="AR438" i="47" s="1"/>
  <c r="AR439" i="47" s="1"/>
  <c r="AR440" i="47" s="1"/>
  <c r="AR441" i="47" s="1"/>
  <c r="AR442" i="47" s="1"/>
  <c r="AR443" i="47" s="1"/>
  <c r="AR444" i="47" s="1"/>
  <c r="AR445" i="47" s="1"/>
  <c r="AR446" i="47" s="1"/>
  <c r="AR447" i="47" s="1"/>
  <c r="AR448" i="47" s="1"/>
  <c r="AR449" i="47" s="1"/>
  <c r="AR450" i="47" s="1"/>
  <c r="AR451" i="47" s="1"/>
  <c r="AR452" i="47" s="1"/>
  <c r="AR453" i="47" s="1"/>
  <c r="AR454" i="47" s="1"/>
  <c r="AR455" i="47" s="1"/>
  <c r="AR456" i="47" s="1"/>
  <c r="AR457" i="47" s="1"/>
  <c r="AR458" i="47" s="1"/>
  <c r="AR459" i="47" s="1"/>
  <c r="AR460" i="47" s="1"/>
  <c r="AR461" i="47" s="1"/>
  <c r="AR462" i="47" s="1"/>
  <c r="AR463" i="47" s="1"/>
  <c r="AR464" i="47" s="1"/>
  <c r="AR465" i="47" s="1"/>
  <c r="AR466" i="47" s="1"/>
  <c r="AR467" i="47" s="1"/>
  <c r="AR468" i="47" s="1"/>
  <c r="AR469" i="47" s="1"/>
  <c r="AR470" i="47" s="1"/>
  <c r="AR471" i="47" s="1"/>
  <c r="AR472" i="47" s="1"/>
  <c r="AR473" i="47" s="1"/>
  <c r="AR474" i="47" s="1"/>
  <c r="AR475" i="47" s="1"/>
  <c r="AR476" i="47" s="1"/>
  <c r="AR477" i="47" s="1"/>
  <c r="AR478" i="47" s="1"/>
  <c r="AR479" i="47" s="1"/>
  <c r="AR480" i="47" s="1"/>
  <c r="AR481" i="47" s="1"/>
  <c r="AR482" i="47" s="1"/>
  <c r="AR483" i="47" s="1"/>
  <c r="AR484" i="47" s="1"/>
  <c r="AR485" i="47" s="1"/>
  <c r="AR486" i="47" s="1"/>
  <c r="AR487" i="47" s="1"/>
  <c r="AR488" i="47" s="1"/>
  <c r="AR489" i="47" s="1"/>
  <c r="AR490" i="47" s="1"/>
  <c r="AR491" i="47" s="1"/>
  <c r="AR492" i="47" s="1"/>
  <c r="AR493" i="47" s="1"/>
  <c r="AR494" i="47" s="1"/>
  <c r="AR495" i="47" s="1"/>
  <c r="AR496" i="47" s="1"/>
  <c r="AR497" i="47" s="1"/>
  <c r="AR498" i="47" s="1"/>
  <c r="AR499" i="47" s="1"/>
  <c r="AR500" i="47" s="1"/>
  <c r="AR501" i="47" s="1"/>
  <c r="AU3" i="47"/>
  <c r="AS3" i="47"/>
  <c r="AI3" i="47"/>
  <c r="T38" i="26"/>
  <c r="R38" i="26"/>
  <c r="S39" i="26"/>
  <c r="F7" i="17"/>
  <c r="D8" i="17"/>
  <c r="S5" i="26"/>
  <c r="R4" i="26"/>
  <c r="T4" i="26"/>
  <c r="AG45" i="21" l="1"/>
  <c r="AG100" i="21"/>
  <c r="AG61" i="21"/>
  <c r="AG51" i="21"/>
  <c r="AG40" i="21"/>
  <c r="AG55" i="21"/>
  <c r="AG66" i="21"/>
  <c r="AG83" i="21"/>
  <c r="AH65" i="21"/>
  <c r="AH62" i="21"/>
  <c r="AH86" i="21"/>
  <c r="AH49" i="21"/>
  <c r="AG91" i="21"/>
  <c r="AH98" i="21"/>
  <c r="AG34" i="21"/>
  <c r="AG76" i="21"/>
  <c r="AG47" i="21"/>
  <c r="AH91" i="21"/>
  <c r="AG52" i="21"/>
  <c r="AG70" i="21"/>
  <c r="S6" i="22"/>
  <c r="AH81" i="21"/>
  <c r="AH53" i="21"/>
  <c r="AH87" i="21"/>
  <c r="AH63" i="21"/>
  <c r="AG58" i="21"/>
  <c r="AG37" i="21"/>
  <c r="AH90" i="21"/>
  <c r="AG33" i="21"/>
  <c r="AH61" i="21"/>
  <c r="AH51" i="21"/>
  <c r="AG98" i="21"/>
  <c r="AG62" i="21"/>
  <c r="AG29" i="21"/>
  <c r="AG49" i="21"/>
  <c r="AH56" i="21"/>
  <c r="AH94" i="21"/>
  <c r="AH31" i="21"/>
  <c r="AH30" i="21"/>
  <c r="AG35" i="21"/>
  <c r="AG84" i="21"/>
  <c r="AH88" i="21"/>
  <c r="AG57" i="21"/>
  <c r="AG53" i="21"/>
  <c r="AH71" i="21"/>
  <c r="AG90" i="21"/>
  <c r="AH39" i="21"/>
  <c r="AG60" i="21"/>
  <c r="AG78" i="21"/>
  <c r="AG75" i="21"/>
  <c r="AH100" i="21"/>
  <c r="AH60" i="21"/>
  <c r="AH54" i="21"/>
  <c r="AG50" i="21"/>
  <c r="AH85" i="21"/>
  <c r="AH83" i="21"/>
  <c r="AG54" i="21"/>
  <c r="AH97" i="21"/>
  <c r="AG41" i="21"/>
  <c r="AH37" i="21"/>
  <c r="AG82" i="21"/>
  <c r="AG93" i="21"/>
  <c r="AH67" i="21"/>
  <c r="AG99" i="21"/>
  <c r="AH45" i="21"/>
  <c r="AG81" i="21"/>
  <c r="AG38" i="21"/>
  <c r="AG71" i="21"/>
  <c r="AH52" i="21"/>
  <c r="AH70" i="21"/>
  <c r="AH36" i="21"/>
  <c r="AH50" i="21"/>
  <c r="AG67" i="21"/>
  <c r="AH48" i="21"/>
  <c r="AH66" i="21"/>
  <c r="AG69" i="21"/>
  <c r="AH33" i="21"/>
  <c r="AG65" i="21"/>
  <c r="AG43" i="21"/>
  <c r="AG32" i="21"/>
  <c r="AG44" i="21"/>
  <c r="AG39" i="21"/>
  <c r="AH55" i="21"/>
  <c r="AH75" i="21"/>
  <c r="AG80" i="21"/>
  <c r="AH84" i="21"/>
  <c r="AH89" i="21"/>
  <c r="AH73" i="21"/>
  <c r="AH58" i="21"/>
  <c r="AG94" i="21"/>
  <c r="AG86" i="21"/>
  <c r="AG36" i="21"/>
  <c r="AG72" i="21"/>
  <c r="AH77" i="21"/>
  <c r="AH92" i="21"/>
  <c r="AH69" i="21"/>
  <c r="AG63" i="21"/>
  <c r="AH101" i="21"/>
  <c r="AG77" i="21"/>
  <c r="AH95" i="21"/>
  <c r="AG79" i="21"/>
  <c r="AH72" i="21"/>
  <c r="AH96" i="21"/>
  <c r="AH44" i="21"/>
  <c r="AG89" i="21"/>
  <c r="AH47" i="21"/>
  <c r="AH32" i="21"/>
  <c r="AG56" i="21"/>
  <c r="AH38" i="21"/>
  <c r="AH68" i="21"/>
  <c r="AG96" i="21"/>
  <c r="AG31" i="21"/>
  <c r="AH74" i="21"/>
  <c r="AH80" i="21"/>
  <c r="AG87" i="21"/>
  <c r="AH99" i="21"/>
  <c r="AH43" i="21"/>
  <c r="AG74" i="21"/>
  <c r="AH35" i="21"/>
  <c r="AH41" i="21"/>
  <c r="AG85" i="21"/>
  <c r="AG64" i="21"/>
  <c r="AG46" i="21"/>
  <c r="AG59" i="21"/>
  <c r="AH64" i="21"/>
  <c r="AH42" i="21"/>
  <c r="AG68" i="21"/>
  <c r="AG88" i="21"/>
  <c r="AG48" i="21"/>
  <c r="AH57" i="21"/>
  <c r="AH59" i="21"/>
  <c r="AH93" i="21"/>
  <c r="AG97" i="21"/>
  <c r="AH40" i="21"/>
  <c r="AH78" i="21"/>
  <c r="AH46" i="21"/>
  <c r="AH79" i="21"/>
  <c r="AG28" i="21"/>
  <c r="AH82" i="21"/>
  <c r="AB28" i="21"/>
  <c r="C41" i="49"/>
  <c r="H40" i="49"/>
  <c r="B40" i="49"/>
  <c r="D39" i="49"/>
  <c r="E39" i="49" s="1"/>
  <c r="I39" i="49"/>
  <c r="AQ6" i="47"/>
  <c r="AT5" i="47"/>
  <c r="AP5" i="47" s="1"/>
  <c r="AO4" i="47"/>
  <c r="AI4" i="47"/>
  <c r="AU4" i="47"/>
  <c r="AS4" i="47"/>
  <c r="D9" i="17"/>
  <c r="F8" i="17"/>
  <c r="R5" i="26"/>
  <c r="S6" i="26"/>
  <c r="T5" i="26"/>
  <c r="R39" i="26"/>
  <c r="T39" i="26"/>
  <c r="S40" i="26"/>
  <c r="S7" i="22" l="1"/>
  <c r="AB29" i="21"/>
  <c r="D40" i="49"/>
  <c r="E40" i="49" s="1"/>
  <c r="I40" i="49"/>
  <c r="H41" i="49"/>
  <c r="C42" i="49"/>
  <c r="B41" i="49"/>
  <c r="AO5" i="47"/>
  <c r="AQ7" i="47"/>
  <c r="AT6" i="47"/>
  <c r="AP6" i="47" s="1"/>
  <c r="AV3" i="47"/>
  <c r="AJ3" i="47"/>
  <c r="AS5" i="47"/>
  <c r="AI5" i="47"/>
  <c r="AU5" i="47"/>
  <c r="R40" i="26"/>
  <c r="T40" i="26"/>
  <c r="S41" i="26"/>
  <c r="T6" i="26"/>
  <c r="R6" i="26"/>
  <c r="S7" i="26"/>
  <c r="D10" i="17"/>
  <c r="F9" i="17"/>
  <c r="S8" i="22" l="1"/>
  <c r="AB30" i="21"/>
  <c r="B42" i="49"/>
  <c r="C43" i="49"/>
  <c r="H42" i="49"/>
  <c r="I41" i="49"/>
  <c r="D41" i="49"/>
  <c r="E41" i="49" s="1"/>
  <c r="AV4" i="47"/>
  <c r="AQ8" i="47"/>
  <c r="AT7" i="47"/>
  <c r="AP7" i="47" s="1"/>
  <c r="AO6" i="47"/>
  <c r="AU6" i="47"/>
  <c r="AJ5" i="47"/>
  <c r="AI6" i="47"/>
  <c r="AJ4" i="47"/>
  <c r="AS6" i="47"/>
  <c r="AK4" i="47"/>
  <c r="F10" i="17"/>
  <c r="D11" i="17"/>
  <c r="T41" i="26"/>
  <c r="R41" i="26"/>
  <c r="S42" i="26"/>
  <c r="T7" i="26"/>
  <c r="S8" i="26"/>
  <c r="R7" i="26"/>
  <c r="S9" i="22" l="1"/>
  <c r="AB31" i="21"/>
  <c r="B43" i="49"/>
  <c r="C44" i="49"/>
  <c r="H43" i="49"/>
  <c r="I42" i="49"/>
  <c r="D42" i="49"/>
  <c r="E42" i="49" s="1"/>
  <c r="AV5" i="47"/>
  <c r="AQ9" i="47"/>
  <c r="AT8" i="47"/>
  <c r="AP8" i="47" s="1"/>
  <c r="AO7" i="47"/>
  <c r="AI7" i="47"/>
  <c r="AK5" i="47"/>
  <c r="AS7" i="47"/>
  <c r="AU7" i="47"/>
  <c r="S9" i="26"/>
  <c r="R8" i="26"/>
  <c r="T8" i="26"/>
  <c r="F11" i="17"/>
  <c r="D12" i="17"/>
  <c r="S43" i="26"/>
  <c r="T42" i="26"/>
  <c r="R42" i="26"/>
  <c r="S10" i="22" l="1"/>
  <c r="AB32" i="21"/>
  <c r="I43" i="49"/>
  <c r="D43" i="49"/>
  <c r="E43" i="49" s="1"/>
  <c r="B44" i="49"/>
  <c r="C45" i="49"/>
  <c r="H44" i="49"/>
  <c r="AO8" i="47"/>
  <c r="AQ10" i="47"/>
  <c r="AT9" i="47"/>
  <c r="AP9" i="47" s="1"/>
  <c r="AW4" i="47"/>
  <c r="AU8" i="47"/>
  <c r="AJ6" i="47"/>
  <c r="AS8" i="47"/>
  <c r="AV6" i="47"/>
  <c r="AI8" i="47"/>
  <c r="AK6" i="47"/>
  <c r="R43" i="26"/>
  <c r="T43" i="26"/>
  <c r="S44" i="26"/>
  <c r="T9" i="26"/>
  <c r="R9" i="26"/>
  <c r="S10" i="26"/>
  <c r="F12" i="17"/>
  <c r="D13" i="17"/>
  <c r="F13" i="17" s="1"/>
  <c r="S11" i="22" l="1"/>
  <c r="AB33" i="21"/>
  <c r="H45" i="49"/>
  <c r="B45" i="49"/>
  <c r="C46" i="49"/>
  <c r="D44" i="49"/>
  <c r="E44" i="49" s="1"/>
  <c r="I44" i="49"/>
  <c r="AO9" i="47"/>
  <c r="AQ11" i="47"/>
  <c r="AT10" i="47"/>
  <c r="AO10" i="47" s="1"/>
  <c r="AK7" i="47"/>
  <c r="AW5" i="47"/>
  <c r="AS9" i="47"/>
  <c r="AV7" i="47"/>
  <c r="AI9" i="47"/>
  <c r="AU9" i="47"/>
  <c r="AJ7" i="47"/>
  <c r="R10" i="26"/>
  <c r="T10" i="26"/>
  <c r="S11" i="26"/>
  <c r="T44" i="26"/>
  <c r="S45" i="26"/>
  <c r="R44" i="26"/>
  <c r="S12" i="22" l="1"/>
  <c r="AB34" i="21"/>
  <c r="D45" i="49"/>
  <c r="E45" i="49" s="1"/>
  <c r="I45" i="49"/>
  <c r="C47" i="49"/>
  <c r="B46" i="49"/>
  <c r="H46" i="49"/>
  <c r="AP10" i="47"/>
  <c r="AQ12" i="47"/>
  <c r="AT11" i="47"/>
  <c r="AP11" i="47" s="1"/>
  <c r="AU10" i="47"/>
  <c r="AI10" i="47"/>
  <c r="AJ8" i="47"/>
  <c r="AS10" i="47"/>
  <c r="AV8" i="47"/>
  <c r="AW7" i="47"/>
  <c r="AW6" i="47"/>
  <c r="AK8" i="47"/>
  <c r="R11" i="26"/>
  <c r="T11" i="26"/>
  <c r="S12" i="26"/>
  <c r="R45" i="26"/>
  <c r="T45" i="26"/>
  <c r="S46" i="26"/>
  <c r="S13" i="22" l="1"/>
  <c r="AB35" i="21"/>
  <c r="D46" i="49"/>
  <c r="E46" i="49" s="1"/>
  <c r="I46" i="49"/>
  <c r="C48" i="49"/>
  <c r="H47" i="49"/>
  <c r="B47" i="49"/>
  <c r="AO11" i="47"/>
  <c r="AQ13" i="47"/>
  <c r="AT12" i="47"/>
  <c r="AO12" i="47" s="1"/>
  <c r="AS11" i="47"/>
  <c r="AV9" i="47"/>
  <c r="AJ9" i="47"/>
  <c r="AK10" i="47"/>
  <c r="AK9" i="47"/>
  <c r="AU11" i="47"/>
  <c r="AI11" i="47"/>
  <c r="R12" i="26"/>
  <c r="S13" i="26"/>
  <c r="T12" i="26"/>
  <c r="R46" i="26"/>
  <c r="S47" i="26"/>
  <c r="T46" i="26"/>
  <c r="S14" i="22" l="1"/>
  <c r="AB36" i="21"/>
  <c r="D47" i="49"/>
  <c r="E47" i="49" s="1"/>
  <c r="I47" i="49"/>
  <c r="B48" i="49"/>
  <c r="C49" i="49"/>
  <c r="H48" i="49"/>
  <c r="AV10" i="47"/>
  <c r="AP12" i="47"/>
  <c r="AQ14" i="47"/>
  <c r="AT13" i="47"/>
  <c r="AP13" i="47" s="1"/>
  <c r="AU12" i="47"/>
  <c r="AK11" i="47"/>
  <c r="AJ10" i="47"/>
  <c r="AI12" i="47"/>
  <c r="AS12" i="47"/>
  <c r="AW8" i="47"/>
  <c r="T47" i="26"/>
  <c r="R47" i="26"/>
  <c r="S48" i="26"/>
  <c r="T13" i="26"/>
  <c r="S14" i="26"/>
  <c r="R13" i="26"/>
  <c r="S15" i="22" l="1"/>
  <c r="AB37" i="21"/>
  <c r="I48" i="49"/>
  <c r="D48" i="49"/>
  <c r="E48" i="49" s="1"/>
  <c r="B49" i="49"/>
  <c r="H49" i="49"/>
  <c r="C50" i="49"/>
  <c r="AO13" i="47"/>
  <c r="AQ15" i="47"/>
  <c r="AT14" i="47"/>
  <c r="AP14" i="47" s="1"/>
  <c r="AI13" i="47"/>
  <c r="AJ11" i="47"/>
  <c r="AU13" i="47"/>
  <c r="AS13" i="47"/>
  <c r="AV11" i="47"/>
  <c r="AW9" i="47"/>
  <c r="T48" i="26"/>
  <c r="S49" i="26"/>
  <c r="R48" i="26"/>
  <c r="S15" i="26"/>
  <c r="T14" i="26"/>
  <c r="R14" i="26"/>
  <c r="S16" i="22" l="1"/>
  <c r="AB38" i="21"/>
  <c r="B50" i="49"/>
  <c r="C51" i="49"/>
  <c r="H50" i="49"/>
  <c r="I49" i="49"/>
  <c r="D49" i="49"/>
  <c r="E49" i="49" s="1"/>
  <c r="AO14" i="47"/>
  <c r="AQ16" i="47"/>
  <c r="AT15" i="47"/>
  <c r="AO15" i="47" s="1"/>
  <c r="AU14" i="47"/>
  <c r="AK12" i="47"/>
  <c r="AS14" i="47"/>
  <c r="AV12" i="47"/>
  <c r="AJ12" i="47"/>
  <c r="AW10" i="47"/>
  <c r="AI14" i="47"/>
  <c r="S16" i="26"/>
  <c r="R15" i="26"/>
  <c r="T15" i="26"/>
  <c r="R49" i="26"/>
  <c r="T49" i="26"/>
  <c r="S50" i="26"/>
  <c r="S17" i="22" l="1"/>
  <c r="AB39" i="21"/>
  <c r="C52" i="49"/>
  <c r="H51" i="49"/>
  <c r="B51" i="49"/>
  <c r="I50" i="49"/>
  <c r="D50" i="49"/>
  <c r="E50" i="49" s="1"/>
  <c r="AV13" i="47"/>
  <c r="AP15" i="47"/>
  <c r="AQ17" i="47"/>
  <c r="AT16" i="47"/>
  <c r="AO16" i="47" s="1"/>
  <c r="AK13" i="47"/>
  <c r="AI15" i="47"/>
  <c r="AW12" i="47"/>
  <c r="AU15" i="47"/>
  <c r="AW11" i="47"/>
  <c r="AS15" i="47"/>
  <c r="AJ13" i="47"/>
  <c r="R50" i="26"/>
  <c r="T50" i="26"/>
  <c r="S51" i="26"/>
  <c r="S17" i="26"/>
  <c r="R16" i="26"/>
  <c r="T16" i="26"/>
  <c r="S18" i="22" l="1"/>
  <c r="AB40" i="21"/>
  <c r="D51" i="49"/>
  <c r="E51" i="49" s="1"/>
  <c r="I51" i="49"/>
  <c r="C53" i="49"/>
  <c r="H52" i="49"/>
  <c r="B52" i="49"/>
  <c r="AP16" i="47"/>
  <c r="AQ18" i="47"/>
  <c r="AT17" i="47"/>
  <c r="AO17" i="47" s="1"/>
  <c r="AS16" i="47"/>
  <c r="AV15" i="47" s="1"/>
  <c r="AV14" i="47"/>
  <c r="AJ14" i="47"/>
  <c r="AI16" i="47"/>
  <c r="AU16" i="47"/>
  <c r="AK14" i="47"/>
  <c r="R17" i="26"/>
  <c r="T17" i="26"/>
  <c r="S18" i="26"/>
  <c r="R51" i="26"/>
  <c r="S52" i="26"/>
  <c r="T51" i="26"/>
  <c r="S19" i="22" l="1"/>
  <c r="AB41" i="21"/>
  <c r="I52" i="49"/>
  <c r="D52" i="49"/>
  <c r="E52" i="49" s="1"/>
  <c r="C54" i="49"/>
  <c r="B53" i="49"/>
  <c r="H53" i="49"/>
  <c r="AP17" i="47"/>
  <c r="AQ19" i="47"/>
  <c r="AT18" i="47"/>
  <c r="AP18" i="47" s="1"/>
  <c r="AK15" i="47"/>
  <c r="AI17" i="47"/>
  <c r="AW13" i="47"/>
  <c r="AJ15" i="47"/>
  <c r="AK16" i="47"/>
  <c r="AU17" i="47"/>
  <c r="AS17" i="47"/>
  <c r="T18" i="26"/>
  <c r="R18" i="26"/>
  <c r="S19" i="26"/>
  <c r="T52" i="26"/>
  <c r="R52" i="26"/>
  <c r="S53" i="26"/>
  <c r="S20" i="22" l="1"/>
  <c r="AB42" i="21"/>
  <c r="D53" i="49"/>
  <c r="E53" i="49" s="1"/>
  <c r="I53" i="49"/>
  <c r="B54" i="49"/>
  <c r="C55" i="49"/>
  <c r="H54" i="49"/>
  <c r="AO18" i="47"/>
  <c r="AQ20" i="47"/>
  <c r="AT19" i="47"/>
  <c r="AP19" i="47" s="1"/>
  <c r="AJ16" i="47"/>
  <c r="AU18" i="47"/>
  <c r="AW15" i="47"/>
  <c r="AW14" i="47"/>
  <c r="AI18" i="47"/>
  <c r="AS18" i="47"/>
  <c r="AV16" i="47"/>
  <c r="S20" i="26"/>
  <c r="R19" i="26"/>
  <c r="T19" i="26"/>
  <c r="T53" i="26"/>
  <c r="S54" i="26"/>
  <c r="R53" i="26"/>
  <c r="S21" i="22" l="1"/>
  <c r="AB43" i="21"/>
  <c r="H55" i="49"/>
  <c r="C56" i="49"/>
  <c r="B55" i="49"/>
  <c r="D54" i="49"/>
  <c r="E54" i="49" s="1"/>
  <c r="I54" i="49"/>
  <c r="AO19" i="47"/>
  <c r="AQ21" i="47"/>
  <c r="AT20" i="47"/>
  <c r="AP20" i="47" s="1"/>
  <c r="AS19" i="47"/>
  <c r="AV17" i="47"/>
  <c r="AU19" i="47"/>
  <c r="AK17" i="47"/>
  <c r="AK18" i="47"/>
  <c r="AI19" i="47"/>
  <c r="AW16" i="47"/>
  <c r="AJ17" i="47"/>
  <c r="S21" i="26"/>
  <c r="R20" i="26"/>
  <c r="T20" i="26"/>
  <c r="R54" i="26"/>
  <c r="T54" i="26"/>
  <c r="S55" i="26"/>
  <c r="AB44" i="21" l="1"/>
  <c r="B56" i="49"/>
  <c r="H56" i="49"/>
  <c r="C57" i="49"/>
  <c r="D55" i="49"/>
  <c r="E55" i="49" s="1"/>
  <c r="I55" i="49"/>
  <c r="AO20" i="47"/>
  <c r="AQ22" i="47"/>
  <c r="AT21" i="47"/>
  <c r="AP21" i="47" s="1"/>
  <c r="AI20" i="47"/>
  <c r="AS20" i="47"/>
  <c r="AV18" i="47"/>
  <c r="AU20" i="47"/>
  <c r="AJ18" i="47"/>
  <c r="R55" i="26"/>
  <c r="S56" i="26"/>
  <c r="T55" i="26"/>
  <c r="T21" i="26"/>
  <c r="S22" i="26"/>
  <c r="R21" i="26"/>
  <c r="AB45" i="21" l="1"/>
  <c r="D56" i="49"/>
  <c r="E56" i="49" s="1"/>
  <c r="I56" i="49"/>
  <c r="C58" i="49"/>
  <c r="H57" i="49"/>
  <c r="B57" i="49"/>
  <c r="AO21" i="47"/>
  <c r="AN22" i="47"/>
  <c r="AQ23" i="47"/>
  <c r="AT22" i="47"/>
  <c r="AP22" i="47" s="1"/>
  <c r="AJ20" i="47"/>
  <c r="AJ19" i="47"/>
  <c r="AW17" i="47"/>
  <c r="AK19" i="47"/>
  <c r="AS21" i="47"/>
  <c r="AV19" i="47"/>
  <c r="AU21" i="47"/>
  <c r="AI21" i="47"/>
  <c r="R56" i="26"/>
  <c r="S57" i="26"/>
  <c r="T56" i="26"/>
  <c r="R22" i="26"/>
  <c r="S23" i="26"/>
  <c r="T22" i="26"/>
  <c r="AB46" i="21" l="1"/>
  <c r="C59" i="49"/>
  <c r="B58" i="49"/>
  <c r="H58" i="49"/>
  <c r="I57" i="49"/>
  <c r="D57" i="49"/>
  <c r="E57" i="49" s="1"/>
  <c r="AN23" i="47"/>
  <c r="AO22" i="47"/>
  <c r="AQ24" i="47"/>
  <c r="AT23" i="47"/>
  <c r="AO23" i="47" s="1"/>
  <c r="AU22" i="47"/>
  <c r="AW18" i="47"/>
  <c r="AS22" i="47"/>
  <c r="AV20" i="47"/>
  <c r="AI22" i="47"/>
  <c r="AK20" i="47"/>
  <c r="R57" i="26"/>
  <c r="T57" i="26"/>
  <c r="S58" i="26"/>
  <c r="R23" i="26"/>
  <c r="S24" i="26"/>
  <c r="T23" i="26"/>
  <c r="AB47" i="21" l="1"/>
  <c r="D58" i="49"/>
  <c r="E58" i="49" s="1"/>
  <c r="I58" i="49"/>
  <c r="C60" i="49"/>
  <c r="B59" i="49"/>
  <c r="H59" i="49"/>
  <c r="AN24" i="47"/>
  <c r="AP23" i="47"/>
  <c r="AQ25" i="47"/>
  <c r="AT24" i="47"/>
  <c r="AO24" i="47" s="1"/>
  <c r="AK22" i="47"/>
  <c r="AK21" i="47"/>
  <c r="AS23" i="47"/>
  <c r="AJ21" i="47"/>
  <c r="AI23" i="47"/>
  <c r="AW19" i="47"/>
  <c r="AV21" i="47"/>
  <c r="AU23" i="47"/>
  <c r="R24" i="26"/>
  <c r="T24" i="26"/>
  <c r="S25" i="26"/>
  <c r="S59" i="26"/>
  <c r="T58" i="26"/>
  <c r="R58" i="26"/>
  <c r="AB48" i="21" l="1"/>
  <c r="D59" i="49"/>
  <c r="E59" i="49" s="1"/>
  <c r="I59" i="49"/>
  <c r="C61" i="49"/>
  <c r="H60" i="49"/>
  <c r="B60" i="49"/>
  <c r="AN25" i="47"/>
  <c r="AP24" i="47"/>
  <c r="AQ26" i="47"/>
  <c r="AT25" i="47"/>
  <c r="AP25" i="47" s="1"/>
  <c r="AS24" i="47"/>
  <c r="AV22" i="47"/>
  <c r="AW20" i="47"/>
  <c r="AJ22" i="47"/>
  <c r="AU24" i="47"/>
  <c r="AI24" i="47"/>
  <c r="T59" i="26"/>
  <c r="R59" i="26"/>
  <c r="S60" i="26"/>
  <c r="T25" i="26"/>
  <c r="S26" i="26"/>
  <c r="R25" i="26"/>
  <c r="AB49" i="21" l="1"/>
  <c r="H61" i="49"/>
  <c r="B61" i="49"/>
  <c r="C62" i="49"/>
  <c r="I60" i="49"/>
  <c r="D60" i="49"/>
  <c r="E60" i="49" s="1"/>
  <c r="AN26" i="47"/>
  <c r="AO25" i="47"/>
  <c r="AQ27" i="47"/>
  <c r="AT26" i="47"/>
  <c r="AO26" i="47" s="1"/>
  <c r="AJ24" i="47"/>
  <c r="AJ23" i="47"/>
  <c r="AK23" i="47"/>
  <c r="AW21" i="47"/>
  <c r="AI25" i="47"/>
  <c r="AU25" i="47"/>
  <c r="AK24" i="47"/>
  <c r="AS25" i="47"/>
  <c r="AV23" i="47"/>
  <c r="S61" i="26"/>
  <c r="R60" i="26"/>
  <c r="T60" i="26"/>
  <c r="R26" i="26"/>
  <c r="S27" i="26"/>
  <c r="T26" i="26"/>
  <c r="AB50" i="21" l="1"/>
  <c r="D61" i="49"/>
  <c r="E61" i="49" s="1"/>
  <c r="I61" i="49"/>
  <c r="B62" i="49"/>
  <c r="C63" i="49"/>
  <c r="H62" i="49"/>
  <c r="AN27" i="47"/>
  <c r="AP26" i="47"/>
  <c r="AQ28" i="47"/>
  <c r="AT27" i="47"/>
  <c r="AO27" i="47" s="1"/>
  <c r="AU26" i="47"/>
  <c r="AI26" i="47"/>
  <c r="AW22" i="47"/>
  <c r="AS26" i="47"/>
  <c r="AV24" i="47"/>
  <c r="R61" i="26"/>
  <c r="T61" i="26"/>
  <c r="S62" i="26"/>
  <c r="R27" i="26"/>
  <c r="T27" i="26"/>
  <c r="S28" i="26"/>
  <c r="AB51" i="21" l="1"/>
  <c r="I62" i="49"/>
  <c r="D62" i="49"/>
  <c r="E62" i="49" s="1"/>
  <c r="H63" i="49"/>
  <c r="C64" i="49"/>
  <c r="B63" i="49"/>
  <c r="AN28" i="47"/>
  <c r="AP27" i="47"/>
  <c r="AQ29" i="47"/>
  <c r="AT28" i="47"/>
  <c r="AO28" i="47" s="1"/>
  <c r="AW24" i="47"/>
  <c r="AK25" i="47"/>
  <c r="AW23" i="47"/>
  <c r="AI27" i="47"/>
  <c r="AJ26" i="47"/>
  <c r="AJ25" i="47"/>
  <c r="AU27" i="47"/>
  <c r="AS27" i="47"/>
  <c r="AV25" i="47"/>
  <c r="R28" i="26"/>
  <c r="S29" i="26"/>
  <c r="T28" i="26"/>
  <c r="S63" i="26"/>
  <c r="R62" i="26"/>
  <c r="T62" i="26"/>
  <c r="AB52" i="21" l="1"/>
  <c r="H64" i="49"/>
  <c r="C65" i="49"/>
  <c r="B64" i="49"/>
  <c r="D63" i="49"/>
  <c r="E63" i="49" s="1"/>
  <c r="I63" i="49"/>
  <c r="AN29" i="47"/>
  <c r="AP28" i="47"/>
  <c r="AQ30" i="47"/>
  <c r="AT29" i="47"/>
  <c r="AO29" i="47" s="1"/>
  <c r="AU28" i="47"/>
  <c r="AK26" i="47"/>
  <c r="AS28" i="47"/>
  <c r="AV26" i="47"/>
  <c r="AI28" i="47"/>
  <c r="T63" i="26"/>
  <c r="S64" i="26"/>
  <c r="R63" i="26"/>
  <c r="T29" i="26"/>
  <c r="S30" i="26"/>
  <c r="R29" i="26"/>
  <c r="AB53" i="21" l="1"/>
  <c r="D64" i="49"/>
  <c r="E64" i="49" s="1"/>
  <c r="I64" i="49"/>
  <c r="H65" i="49"/>
  <c r="C66" i="49"/>
  <c r="B65" i="49"/>
  <c r="AN30" i="47"/>
  <c r="AP29" i="47"/>
  <c r="AQ31" i="47"/>
  <c r="AT30" i="47"/>
  <c r="AO30" i="47" s="1"/>
  <c r="AS29" i="47"/>
  <c r="AV27" i="47"/>
  <c r="AK27" i="47"/>
  <c r="AI29" i="47"/>
  <c r="AJ27" i="47"/>
  <c r="AW25" i="47"/>
  <c r="AU29" i="47"/>
  <c r="R30" i="26"/>
  <c r="S31" i="26"/>
  <c r="T30" i="26"/>
  <c r="S65" i="26"/>
  <c r="R64" i="26"/>
  <c r="T64" i="26"/>
  <c r="AB54" i="21" l="1"/>
  <c r="D65" i="49"/>
  <c r="E65" i="49" s="1"/>
  <c r="I65" i="49"/>
  <c r="B66" i="49"/>
  <c r="C67" i="49"/>
  <c r="H66" i="49"/>
  <c r="AN31" i="47"/>
  <c r="AP30" i="47"/>
  <c r="AQ32" i="47"/>
  <c r="AT31" i="47"/>
  <c r="AP31" i="47" s="1"/>
  <c r="AJ29" i="47"/>
  <c r="AK28" i="47"/>
  <c r="AS30" i="47"/>
  <c r="AV29" i="47" s="1"/>
  <c r="AU30" i="47"/>
  <c r="AW26" i="47"/>
  <c r="AI30" i="47"/>
  <c r="AV28" i="47"/>
  <c r="AJ28" i="47"/>
  <c r="R65" i="26"/>
  <c r="S66" i="26"/>
  <c r="T65" i="26"/>
  <c r="S32" i="26"/>
  <c r="R31" i="26"/>
  <c r="T31" i="26"/>
  <c r="AB55" i="21" l="1"/>
  <c r="D66" i="49"/>
  <c r="E66" i="49" s="1"/>
  <c r="I66" i="49"/>
  <c r="H67" i="49"/>
  <c r="B67" i="49"/>
  <c r="C68" i="49"/>
  <c r="AN32" i="47"/>
  <c r="AO31" i="47"/>
  <c r="AQ33" i="47"/>
  <c r="AT32" i="47"/>
  <c r="AO32" i="47" s="1"/>
  <c r="AI31" i="47"/>
  <c r="AW27" i="47"/>
  <c r="AS31" i="47"/>
  <c r="AK29" i="47"/>
  <c r="AW28" i="47"/>
  <c r="AU31" i="47"/>
  <c r="S67" i="26"/>
  <c r="T66" i="26"/>
  <c r="R66" i="26"/>
  <c r="R32" i="26"/>
  <c r="T32" i="26"/>
  <c r="S33" i="26"/>
  <c r="AB56" i="21" l="1"/>
  <c r="D67" i="49"/>
  <c r="E67" i="49" s="1"/>
  <c r="I67" i="49"/>
  <c r="C69" i="49"/>
  <c r="H68" i="49"/>
  <c r="B68" i="49"/>
  <c r="AP32" i="47"/>
  <c r="AN33" i="47"/>
  <c r="AQ34" i="47"/>
  <c r="AT33" i="47"/>
  <c r="AO33" i="47" s="1"/>
  <c r="AJ30" i="47"/>
  <c r="AU32" i="47"/>
  <c r="AS32" i="47"/>
  <c r="AV30" i="47"/>
  <c r="AJ31" i="47"/>
  <c r="AK30" i="47"/>
  <c r="AI32" i="47"/>
  <c r="T67" i="26"/>
  <c r="R67" i="26"/>
  <c r="S68" i="26"/>
  <c r="T33" i="26"/>
  <c r="R33" i="26"/>
  <c r="S34" i="26"/>
  <c r="AB57" i="21" l="1"/>
  <c r="D68" i="49"/>
  <c r="E68" i="49" s="1"/>
  <c r="I68" i="49"/>
  <c r="H69" i="49"/>
  <c r="C70" i="49"/>
  <c r="B69" i="49"/>
  <c r="AN34" i="47"/>
  <c r="AP33" i="47"/>
  <c r="AQ35" i="47"/>
  <c r="AT34" i="47"/>
  <c r="AP34" i="47" s="1"/>
  <c r="AK31" i="47"/>
  <c r="AU33" i="47"/>
  <c r="AW29" i="47"/>
  <c r="AI33" i="47"/>
  <c r="AS33" i="47"/>
  <c r="AV31" i="47"/>
  <c r="S69" i="26"/>
  <c r="R68" i="26"/>
  <c r="T68" i="26"/>
  <c r="R34" i="26"/>
  <c r="T34" i="26"/>
  <c r="AB58" i="21" l="1"/>
  <c r="I69" i="49"/>
  <c r="D69" i="49"/>
  <c r="E69" i="49" s="1"/>
  <c r="C71" i="49"/>
  <c r="H70" i="49"/>
  <c r="B70" i="49"/>
  <c r="AN35" i="47"/>
  <c r="AO34" i="47"/>
  <c r="AQ36" i="47"/>
  <c r="AT35" i="47"/>
  <c r="AO35" i="47" s="1"/>
  <c r="AW31" i="47"/>
  <c r="AW30" i="47"/>
  <c r="AS34" i="47"/>
  <c r="AV32" i="47"/>
  <c r="AU34" i="47"/>
  <c r="AJ33" i="47"/>
  <c r="AJ32" i="47"/>
  <c r="AI34" i="47"/>
  <c r="AK32" i="47"/>
  <c r="R69" i="26"/>
  <c r="S70" i="26"/>
  <c r="S71" i="26" s="1"/>
  <c r="T69" i="26"/>
  <c r="T71" i="26" l="1"/>
  <c r="S72" i="26"/>
  <c r="R71" i="26"/>
  <c r="AB59" i="21"/>
  <c r="D70" i="49"/>
  <c r="E70" i="49" s="1"/>
  <c r="I70" i="49"/>
  <c r="H71" i="49"/>
  <c r="B71" i="49"/>
  <c r="C72" i="49"/>
  <c r="AN36" i="47"/>
  <c r="AP35" i="47"/>
  <c r="AQ37" i="47"/>
  <c r="AQ38" i="47" s="1"/>
  <c r="AT36" i="47"/>
  <c r="AP36" i="47" s="1"/>
  <c r="AU35" i="47"/>
  <c r="AI35" i="47"/>
  <c r="AS35" i="47"/>
  <c r="AV33" i="47"/>
  <c r="AK33" i="47"/>
  <c r="T70" i="26"/>
  <c r="R70" i="26"/>
  <c r="S73" i="26" l="1"/>
  <c r="R72" i="26"/>
  <c r="T72" i="26"/>
  <c r="AB60" i="21"/>
  <c r="I71" i="49"/>
  <c r="D71" i="49"/>
  <c r="E71" i="49" s="1"/>
  <c r="B72" i="49"/>
  <c r="H72" i="49"/>
  <c r="C73" i="49"/>
  <c r="AT38" i="47"/>
  <c r="AO38" i="47" s="1"/>
  <c r="AQ39" i="47"/>
  <c r="AN38" i="47"/>
  <c r="AT37" i="47"/>
  <c r="AP37" i="47" s="1"/>
  <c r="AN37" i="47"/>
  <c r="AU37" i="47" s="1"/>
  <c r="AO36" i="47"/>
  <c r="AJ35" i="47"/>
  <c r="AJ34" i="47"/>
  <c r="AI37" i="47"/>
  <c r="AI36" i="47"/>
  <c r="AW32" i="47"/>
  <c r="AS36" i="47"/>
  <c r="AV34" i="47"/>
  <c r="AK36" i="47"/>
  <c r="AK34" i="47"/>
  <c r="AU36" i="47"/>
  <c r="T73" i="26" l="1"/>
  <c r="R73" i="26"/>
  <c r="S74" i="26"/>
  <c r="AB61" i="21"/>
  <c r="I72" i="49"/>
  <c r="D72" i="49"/>
  <c r="E72" i="49" s="1"/>
  <c r="H73" i="49"/>
  <c r="C74" i="49"/>
  <c r="B73" i="49"/>
  <c r="AO37" i="47"/>
  <c r="AP38" i="47"/>
  <c r="AT39" i="47"/>
  <c r="AO39" i="47" s="1"/>
  <c r="AN39" i="47"/>
  <c r="AQ40" i="47"/>
  <c r="AU38" i="47"/>
  <c r="AW33" i="47"/>
  <c r="AK37" i="47"/>
  <c r="AK35" i="47"/>
  <c r="AS37" i="47"/>
  <c r="AV35" i="47"/>
  <c r="AJ36" i="47"/>
  <c r="S75" i="26" l="1"/>
  <c r="T74" i="26"/>
  <c r="R74" i="26"/>
  <c r="AB62" i="21"/>
  <c r="C75" i="49"/>
  <c r="H74" i="49"/>
  <c r="B74" i="49"/>
  <c r="D73" i="49"/>
  <c r="E73" i="49" s="1"/>
  <c r="I73" i="49"/>
  <c r="AP39" i="47"/>
  <c r="AV36" i="47"/>
  <c r="AS38" i="47"/>
  <c r="AV37" i="47" s="1"/>
  <c r="AU39" i="47"/>
  <c r="AQ41" i="47"/>
  <c r="AT40" i="47"/>
  <c r="AN40" i="47"/>
  <c r="AW36" i="47"/>
  <c r="AW34" i="47"/>
  <c r="AJ37" i="47"/>
  <c r="T75" i="26" l="1"/>
  <c r="R75" i="26"/>
  <c r="S76" i="26"/>
  <c r="AB63" i="21"/>
  <c r="I74" i="49"/>
  <c r="D74" i="49"/>
  <c r="E74" i="49" s="1"/>
  <c r="C76" i="49"/>
  <c r="B75" i="49"/>
  <c r="H75" i="49"/>
  <c r="AU40" i="47"/>
  <c r="AT41" i="47"/>
  <c r="AP41" i="47" s="1"/>
  <c r="AQ42" i="47"/>
  <c r="AN41" i="47"/>
  <c r="AS39" i="47"/>
  <c r="AP40" i="47"/>
  <c r="AO40" i="47"/>
  <c r="AW37" i="47"/>
  <c r="AW35" i="47"/>
  <c r="S77" i="26" l="1"/>
  <c r="T76" i="26"/>
  <c r="R76" i="26"/>
  <c r="AB64" i="21"/>
  <c r="C77" i="49"/>
  <c r="B76" i="49"/>
  <c r="H76" i="49"/>
  <c r="I75" i="49"/>
  <c r="D75" i="49"/>
  <c r="E75" i="49" s="1"/>
  <c r="AO41" i="47"/>
  <c r="AS40" i="47"/>
  <c r="AV39" i="47" s="1"/>
  <c r="AV38" i="47"/>
  <c r="AT42" i="47"/>
  <c r="AO42" i="47" s="1"/>
  <c r="AQ43" i="47"/>
  <c r="AN42" i="47"/>
  <c r="AU41" i="47"/>
  <c r="AW38" i="47"/>
  <c r="AW39" i="47"/>
  <c r="T77" i="26" l="1"/>
  <c r="S78" i="26"/>
  <c r="R77" i="26"/>
  <c r="AB65" i="21"/>
  <c r="C78" i="49"/>
  <c r="B77" i="49"/>
  <c r="H77" i="49"/>
  <c r="I76" i="49"/>
  <c r="D76" i="49"/>
  <c r="E76" i="49" s="1"/>
  <c r="AU42" i="47"/>
  <c r="AP42" i="47"/>
  <c r="AS41" i="47"/>
  <c r="AV40" i="47" s="1"/>
  <c r="AT43" i="47"/>
  <c r="AO43" i="47" s="1"/>
  <c r="AN43" i="47"/>
  <c r="AQ44" i="47"/>
  <c r="S79" i="26" l="1"/>
  <c r="T78" i="26"/>
  <c r="R78" i="26"/>
  <c r="AB66" i="21"/>
  <c r="H78" i="49"/>
  <c r="B78" i="49"/>
  <c r="C79" i="49"/>
  <c r="I77" i="49"/>
  <c r="D77" i="49"/>
  <c r="E77" i="49" s="1"/>
  <c r="AQ45" i="47"/>
  <c r="AT44" i="47"/>
  <c r="AO44" i="47" s="1"/>
  <c r="AN44" i="47"/>
  <c r="AU43" i="47"/>
  <c r="AS42" i="47"/>
  <c r="AW40" i="47"/>
  <c r="AP43" i="47"/>
  <c r="T79" i="26" l="1"/>
  <c r="S80" i="26"/>
  <c r="R79" i="26"/>
  <c r="AB67" i="21"/>
  <c r="I78" i="49"/>
  <c r="D78" i="49"/>
  <c r="E78" i="49" s="1"/>
  <c r="H79" i="49"/>
  <c r="C80" i="49"/>
  <c r="B79" i="49"/>
  <c r="AP44" i="47"/>
  <c r="AW42" i="47" s="1"/>
  <c r="AS43" i="47"/>
  <c r="AV41" i="47"/>
  <c r="AW41" i="47"/>
  <c r="AU44" i="47"/>
  <c r="AT45" i="47"/>
  <c r="AO45" i="47" s="1"/>
  <c r="AQ46" i="47"/>
  <c r="AN45" i="47"/>
  <c r="S81" i="26" l="1"/>
  <c r="T80" i="26"/>
  <c r="R80" i="26"/>
  <c r="AB68" i="21"/>
  <c r="B80" i="49"/>
  <c r="C81" i="49"/>
  <c r="H80" i="49"/>
  <c r="I79" i="49"/>
  <c r="D79" i="49"/>
  <c r="E79" i="49" s="1"/>
  <c r="AP45" i="47"/>
  <c r="AW43" i="47" s="1"/>
  <c r="AT46" i="47"/>
  <c r="AO46" i="47" s="1"/>
  <c r="AN46" i="47"/>
  <c r="AQ47" i="47"/>
  <c r="AU45" i="47"/>
  <c r="AS44" i="47"/>
  <c r="AV43" i="47" s="1"/>
  <c r="AV42" i="47"/>
  <c r="T81" i="26" l="1"/>
  <c r="S82" i="26"/>
  <c r="R81" i="26"/>
  <c r="AB69" i="21"/>
  <c r="C82" i="49"/>
  <c r="H81" i="49"/>
  <c r="B81" i="49"/>
  <c r="D80" i="49"/>
  <c r="E80" i="49" s="1"/>
  <c r="I80" i="49"/>
  <c r="AP46" i="47"/>
  <c r="AW44" i="47" s="1"/>
  <c r="AT47" i="47"/>
  <c r="AO47" i="47" s="1"/>
  <c r="AN47" i="47"/>
  <c r="AQ48" i="47"/>
  <c r="AS45" i="47"/>
  <c r="AU46" i="47"/>
  <c r="AV44" i="47"/>
  <c r="S83" i="26" l="1"/>
  <c r="T82" i="26"/>
  <c r="R82" i="26"/>
  <c r="AB70" i="21"/>
  <c r="I81" i="49"/>
  <c r="D81" i="49"/>
  <c r="E81" i="49" s="1"/>
  <c r="B82" i="49"/>
  <c r="C83" i="49"/>
  <c r="H82" i="49"/>
  <c r="AP47" i="47"/>
  <c r="AW45" i="47" s="1"/>
  <c r="AQ49" i="47"/>
  <c r="AT48" i="47"/>
  <c r="AP48" i="47" s="1"/>
  <c r="AN48" i="47"/>
  <c r="AU47" i="47"/>
  <c r="AS46" i="47"/>
  <c r="T83" i="26" l="1"/>
  <c r="R83" i="26"/>
  <c r="S84" i="26"/>
  <c r="AB71" i="21"/>
  <c r="C84" i="49"/>
  <c r="H83" i="49"/>
  <c r="B83" i="49"/>
  <c r="D82" i="49"/>
  <c r="E82" i="49" s="1"/>
  <c r="I82" i="49"/>
  <c r="AO48" i="47"/>
  <c r="AU48" i="47"/>
  <c r="AS47" i="47"/>
  <c r="AV45" i="47"/>
  <c r="AT49" i="47"/>
  <c r="AQ50" i="47"/>
  <c r="AN49" i="47"/>
  <c r="AW46" i="47"/>
  <c r="S85" i="26" l="1"/>
  <c r="T84" i="26"/>
  <c r="R84" i="26"/>
  <c r="AB72" i="21"/>
  <c r="I83" i="49"/>
  <c r="D83" i="49"/>
  <c r="E83" i="49" s="1"/>
  <c r="C85" i="49"/>
  <c r="H84" i="49"/>
  <c r="B84" i="49"/>
  <c r="AU49" i="47"/>
  <c r="AT50" i="47"/>
  <c r="AO50" i="47" s="1"/>
  <c r="AQ51" i="47"/>
  <c r="AQ52" i="47" s="1"/>
  <c r="AN50" i="47"/>
  <c r="AO49" i="47"/>
  <c r="AS48" i="47"/>
  <c r="AV46" i="47"/>
  <c r="AP49" i="47"/>
  <c r="T85" i="26" l="1"/>
  <c r="S86" i="26"/>
  <c r="R85" i="26"/>
  <c r="AB73" i="21"/>
  <c r="B85" i="49"/>
  <c r="H85" i="49"/>
  <c r="C86" i="49"/>
  <c r="I84" i="49"/>
  <c r="D84" i="49"/>
  <c r="E84" i="49" s="1"/>
  <c r="AT52" i="47"/>
  <c r="AO52" i="47" s="1"/>
  <c r="AQ53" i="47"/>
  <c r="AN52" i="47"/>
  <c r="AP50" i="47"/>
  <c r="AW48" i="47" s="1"/>
  <c r="AS49" i="47"/>
  <c r="AV48" i="47" s="1"/>
  <c r="AW47" i="47"/>
  <c r="AV47" i="47"/>
  <c r="AT51" i="47"/>
  <c r="AO51" i="47" s="1"/>
  <c r="AN51" i="47"/>
  <c r="AU50" i="47"/>
  <c r="S87" i="26" l="1"/>
  <c r="T86" i="26"/>
  <c r="R86" i="26"/>
  <c r="AB74" i="21"/>
  <c r="D85" i="49"/>
  <c r="E85" i="49" s="1"/>
  <c r="I85" i="49"/>
  <c r="C87" i="49"/>
  <c r="B86" i="49"/>
  <c r="H86" i="49"/>
  <c r="AP52" i="47"/>
  <c r="AP51" i="47"/>
  <c r="AW50" i="47" s="1"/>
  <c r="AT53" i="47"/>
  <c r="AO53" i="47" s="1"/>
  <c r="AQ54" i="47"/>
  <c r="AN53" i="47"/>
  <c r="AU51" i="47"/>
  <c r="AS50" i="47"/>
  <c r="T87" i="26" l="1"/>
  <c r="R87" i="26"/>
  <c r="S88" i="26"/>
  <c r="AB75" i="21"/>
  <c r="I86" i="49"/>
  <c r="D86" i="49"/>
  <c r="E86" i="49" s="1"/>
  <c r="C88" i="49"/>
  <c r="H87" i="49"/>
  <c r="B87" i="49"/>
  <c r="AW49" i="47"/>
  <c r="AP53" i="47"/>
  <c r="AW51" i="47" s="1"/>
  <c r="AT54" i="47"/>
  <c r="AP54" i="47" s="1"/>
  <c r="AQ55" i="47"/>
  <c r="AN54" i="47"/>
  <c r="AS51" i="47"/>
  <c r="AV49" i="47"/>
  <c r="S89" i="26" l="1"/>
  <c r="T88" i="26"/>
  <c r="R88" i="26"/>
  <c r="AB76" i="21"/>
  <c r="AO54" i="47"/>
  <c r="I87" i="49"/>
  <c r="D87" i="49"/>
  <c r="E87" i="49" s="1"/>
  <c r="H88" i="49"/>
  <c r="C89" i="49"/>
  <c r="B88" i="49"/>
  <c r="AV50" i="47"/>
  <c r="AS52" i="47"/>
  <c r="AS53" i="47" s="1"/>
  <c r="AS54" i="47" s="1"/>
  <c r="AS55" i="47" s="1"/>
  <c r="AS56" i="47" s="1"/>
  <c r="AS57" i="47" s="1"/>
  <c r="AS58" i="47" s="1"/>
  <c r="AS59" i="47" s="1"/>
  <c r="AS60" i="47" s="1"/>
  <c r="AS61" i="47" s="1"/>
  <c r="AS62" i="47" s="1"/>
  <c r="AS63" i="47" s="1"/>
  <c r="AS64" i="47" s="1"/>
  <c r="AS65" i="47" s="1"/>
  <c r="AS66" i="47" s="1"/>
  <c r="AS67" i="47" s="1"/>
  <c r="AS68" i="47" s="1"/>
  <c r="AS69" i="47" s="1"/>
  <c r="AS70" i="47" s="1"/>
  <c r="AS71" i="47" s="1"/>
  <c r="AS72" i="47" s="1"/>
  <c r="AS73" i="47" s="1"/>
  <c r="AS74" i="47" s="1"/>
  <c r="AS75" i="47" s="1"/>
  <c r="AS76" i="47" s="1"/>
  <c r="AS77" i="47" s="1"/>
  <c r="AS78" i="47" s="1"/>
  <c r="AS79" i="47" s="1"/>
  <c r="AS80" i="47" s="1"/>
  <c r="AS81" i="47" s="1"/>
  <c r="AS82" i="47" s="1"/>
  <c r="AS83" i="47" s="1"/>
  <c r="AS84" i="47" s="1"/>
  <c r="AS85" i="47" s="1"/>
  <c r="AS86" i="47" s="1"/>
  <c r="AS87" i="47" s="1"/>
  <c r="AS88" i="47" s="1"/>
  <c r="AS89" i="47" s="1"/>
  <c r="AS90" i="47" s="1"/>
  <c r="AS91" i="47" s="1"/>
  <c r="AS92" i="47" s="1"/>
  <c r="AS93" i="47" s="1"/>
  <c r="AS94" i="47" s="1"/>
  <c r="AS95" i="47" s="1"/>
  <c r="AS96" i="47" s="1"/>
  <c r="AS97" i="47" s="1"/>
  <c r="AS98" i="47" s="1"/>
  <c r="AS99" i="47" s="1"/>
  <c r="AS100" i="47" s="1"/>
  <c r="AS101" i="47" s="1"/>
  <c r="AS102" i="47" s="1"/>
  <c r="AS103" i="47" s="1"/>
  <c r="AS104" i="47" s="1"/>
  <c r="AS105" i="47" s="1"/>
  <c r="AS106" i="47" s="1"/>
  <c r="AS107" i="47" s="1"/>
  <c r="AS108" i="47" s="1"/>
  <c r="AS109" i="47" s="1"/>
  <c r="AS110" i="47" s="1"/>
  <c r="AS111" i="47" s="1"/>
  <c r="AS112" i="47" s="1"/>
  <c r="AS113" i="47" s="1"/>
  <c r="AS114" i="47" s="1"/>
  <c r="AS115" i="47" s="1"/>
  <c r="AS116" i="47" s="1"/>
  <c r="AS117" i="47" s="1"/>
  <c r="AS118" i="47" s="1"/>
  <c r="AS119" i="47" s="1"/>
  <c r="AS120" i="47" s="1"/>
  <c r="AS121" i="47" s="1"/>
  <c r="AS122" i="47" s="1"/>
  <c r="AS123" i="47" s="1"/>
  <c r="AS124" i="47" s="1"/>
  <c r="AS125" i="47" s="1"/>
  <c r="AS126" i="47" s="1"/>
  <c r="AS127" i="47" s="1"/>
  <c r="AS128" i="47" s="1"/>
  <c r="AS129" i="47" s="1"/>
  <c r="AS130" i="47" s="1"/>
  <c r="AS131" i="47" s="1"/>
  <c r="AS132" i="47" s="1"/>
  <c r="AS133" i="47" s="1"/>
  <c r="AS134" i="47" s="1"/>
  <c r="AS135" i="47" s="1"/>
  <c r="AS136" i="47" s="1"/>
  <c r="AS137" i="47" s="1"/>
  <c r="AS138" i="47" s="1"/>
  <c r="AS139" i="47" s="1"/>
  <c r="AS140" i="47" s="1"/>
  <c r="AS141" i="47" s="1"/>
  <c r="AS142" i="47" s="1"/>
  <c r="AS143" i="47" s="1"/>
  <c r="AS144" i="47" s="1"/>
  <c r="AS145" i="47" s="1"/>
  <c r="AS146" i="47" s="1"/>
  <c r="AS147" i="47" s="1"/>
  <c r="AS148" i="47" s="1"/>
  <c r="AS149" i="47" s="1"/>
  <c r="AS150" i="47" s="1"/>
  <c r="AS151" i="47" s="1"/>
  <c r="AS152" i="47" s="1"/>
  <c r="AS153" i="47" s="1"/>
  <c r="AS154" i="47" s="1"/>
  <c r="AS155" i="47" s="1"/>
  <c r="AS156" i="47" s="1"/>
  <c r="AS157" i="47" s="1"/>
  <c r="AS158" i="47" s="1"/>
  <c r="AS159" i="47" s="1"/>
  <c r="AS160" i="47" s="1"/>
  <c r="AS161" i="47" s="1"/>
  <c r="AS162" i="47" s="1"/>
  <c r="AS163" i="47" s="1"/>
  <c r="AS164" i="47" s="1"/>
  <c r="AS165" i="47" s="1"/>
  <c r="AS166" i="47" s="1"/>
  <c r="AS167" i="47" s="1"/>
  <c r="AS168" i="47" s="1"/>
  <c r="AS169" i="47" s="1"/>
  <c r="AS170" i="47" s="1"/>
  <c r="AS171" i="47" s="1"/>
  <c r="AS172" i="47" s="1"/>
  <c r="AS173" i="47" s="1"/>
  <c r="AS174" i="47" s="1"/>
  <c r="AS175" i="47" s="1"/>
  <c r="AS176" i="47" s="1"/>
  <c r="AS177" i="47" s="1"/>
  <c r="AS178" i="47" s="1"/>
  <c r="AS179" i="47" s="1"/>
  <c r="AS180" i="47" s="1"/>
  <c r="AS181" i="47" s="1"/>
  <c r="AS182" i="47" s="1"/>
  <c r="AS183" i="47" s="1"/>
  <c r="AS184" i="47" s="1"/>
  <c r="AS185" i="47" s="1"/>
  <c r="AS186" i="47" s="1"/>
  <c r="AS187" i="47" s="1"/>
  <c r="AS188" i="47" s="1"/>
  <c r="AS189" i="47" s="1"/>
  <c r="AS190" i="47" s="1"/>
  <c r="AS191" i="47" s="1"/>
  <c r="AS192" i="47" s="1"/>
  <c r="AS193" i="47" s="1"/>
  <c r="AS194" i="47" s="1"/>
  <c r="AS195" i="47" s="1"/>
  <c r="AS196" i="47" s="1"/>
  <c r="AS197" i="47" s="1"/>
  <c r="AS198" i="47" s="1"/>
  <c r="AS199" i="47" s="1"/>
  <c r="AS200" i="47" s="1"/>
  <c r="AS201" i="47" s="1"/>
  <c r="AS202" i="47" s="1"/>
  <c r="AS203" i="47" s="1"/>
  <c r="AS204" i="47" s="1"/>
  <c r="AS205" i="47" s="1"/>
  <c r="AS206" i="47" s="1"/>
  <c r="AS207" i="47" s="1"/>
  <c r="AS208" i="47" s="1"/>
  <c r="AS209" i="47" s="1"/>
  <c r="AS210" i="47" s="1"/>
  <c r="AS211" i="47" s="1"/>
  <c r="AS212" i="47" s="1"/>
  <c r="AS213" i="47" s="1"/>
  <c r="AS214" i="47" s="1"/>
  <c r="AS215" i="47" s="1"/>
  <c r="AS216" i="47" s="1"/>
  <c r="AS217" i="47" s="1"/>
  <c r="AS218" i="47" s="1"/>
  <c r="AS219" i="47" s="1"/>
  <c r="AS220" i="47" s="1"/>
  <c r="AS221" i="47" s="1"/>
  <c r="AS222" i="47" s="1"/>
  <c r="AS223" i="47" s="1"/>
  <c r="AS224" i="47" s="1"/>
  <c r="AS225" i="47" s="1"/>
  <c r="AS226" i="47" s="1"/>
  <c r="AS227" i="47" s="1"/>
  <c r="AS228" i="47" s="1"/>
  <c r="AS229" i="47" s="1"/>
  <c r="AS230" i="47" s="1"/>
  <c r="AS231" i="47" s="1"/>
  <c r="AS232" i="47" s="1"/>
  <c r="AS233" i="47" s="1"/>
  <c r="AS234" i="47" s="1"/>
  <c r="AS235" i="47" s="1"/>
  <c r="AS236" i="47" s="1"/>
  <c r="AS237" i="47" s="1"/>
  <c r="AS238" i="47" s="1"/>
  <c r="AS239" i="47" s="1"/>
  <c r="AS240" i="47" s="1"/>
  <c r="AS241" i="47" s="1"/>
  <c r="AS242" i="47" s="1"/>
  <c r="AS243" i="47" s="1"/>
  <c r="AS244" i="47" s="1"/>
  <c r="AS245" i="47" s="1"/>
  <c r="AS246" i="47" s="1"/>
  <c r="AS247" i="47" s="1"/>
  <c r="AS248" i="47" s="1"/>
  <c r="AS249" i="47" s="1"/>
  <c r="AS250" i="47" s="1"/>
  <c r="AS251" i="47" s="1"/>
  <c r="AS252" i="47" s="1"/>
  <c r="AS253" i="47" s="1"/>
  <c r="AS254" i="47" s="1"/>
  <c r="AS255" i="47" s="1"/>
  <c r="AS256" i="47" s="1"/>
  <c r="AS257" i="47" s="1"/>
  <c r="AS258" i="47" s="1"/>
  <c r="AS259" i="47" s="1"/>
  <c r="AS260" i="47" s="1"/>
  <c r="AS261" i="47" s="1"/>
  <c r="AS262" i="47" s="1"/>
  <c r="AS263" i="47" s="1"/>
  <c r="AS264" i="47" s="1"/>
  <c r="AS265" i="47" s="1"/>
  <c r="AS266" i="47" s="1"/>
  <c r="AS267" i="47" s="1"/>
  <c r="AS268" i="47" s="1"/>
  <c r="AS269" i="47" s="1"/>
  <c r="AS270" i="47" s="1"/>
  <c r="AS271" i="47" s="1"/>
  <c r="AS272" i="47" s="1"/>
  <c r="AS273" i="47" s="1"/>
  <c r="AS274" i="47" s="1"/>
  <c r="AS275" i="47" s="1"/>
  <c r="AS276" i="47" s="1"/>
  <c r="AS277" i="47" s="1"/>
  <c r="AS278" i="47" s="1"/>
  <c r="AS279" i="47" s="1"/>
  <c r="AS280" i="47" s="1"/>
  <c r="AS281" i="47" s="1"/>
  <c r="AS282" i="47" s="1"/>
  <c r="AS283" i="47" s="1"/>
  <c r="AS284" i="47" s="1"/>
  <c r="AS285" i="47" s="1"/>
  <c r="AS286" i="47" s="1"/>
  <c r="AS287" i="47" s="1"/>
  <c r="AS288" i="47" s="1"/>
  <c r="AS289" i="47" s="1"/>
  <c r="AS290" i="47" s="1"/>
  <c r="AS291" i="47" s="1"/>
  <c r="AS292" i="47" s="1"/>
  <c r="AS293" i="47" s="1"/>
  <c r="AS294" i="47" s="1"/>
  <c r="AS295" i="47" s="1"/>
  <c r="AS296" i="47" s="1"/>
  <c r="AS297" i="47" s="1"/>
  <c r="AS298" i="47" s="1"/>
  <c r="AS299" i="47" s="1"/>
  <c r="AS300" i="47" s="1"/>
  <c r="AS301" i="47" s="1"/>
  <c r="AS302" i="47" s="1"/>
  <c r="AS303" i="47" s="1"/>
  <c r="AS304" i="47" s="1"/>
  <c r="AS305" i="47" s="1"/>
  <c r="AS306" i="47" s="1"/>
  <c r="AS307" i="47" s="1"/>
  <c r="AS308" i="47" s="1"/>
  <c r="AS309" i="47" s="1"/>
  <c r="AS310" i="47" s="1"/>
  <c r="AS311" i="47" s="1"/>
  <c r="AS312" i="47" s="1"/>
  <c r="AS313" i="47" s="1"/>
  <c r="AS314" i="47" s="1"/>
  <c r="AS315" i="47" s="1"/>
  <c r="AS316" i="47" s="1"/>
  <c r="AS317" i="47" s="1"/>
  <c r="AS318" i="47" s="1"/>
  <c r="AS319" i="47" s="1"/>
  <c r="AS320" i="47" s="1"/>
  <c r="AS321" i="47" s="1"/>
  <c r="AS322" i="47" s="1"/>
  <c r="AS323" i="47" s="1"/>
  <c r="AS324" i="47" s="1"/>
  <c r="AS325" i="47" s="1"/>
  <c r="AS326" i="47" s="1"/>
  <c r="AS327" i="47" s="1"/>
  <c r="AS328" i="47" s="1"/>
  <c r="AS329" i="47" s="1"/>
  <c r="AS330" i="47" s="1"/>
  <c r="AS331" i="47" s="1"/>
  <c r="AS332" i="47" s="1"/>
  <c r="AS333" i="47" s="1"/>
  <c r="AS334" i="47" s="1"/>
  <c r="AS335" i="47" s="1"/>
  <c r="AS336" i="47" s="1"/>
  <c r="AS337" i="47" s="1"/>
  <c r="AS338" i="47" s="1"/>
  <c r="AS339" i="47" s="1"/>
  <c r="AS340" i="47" s="1"/>
  <c r="AS341" i="47" s="1"/>
  <c r="AS342" i="47" s="1"/>
  <c r="AS343" i="47" s="1"/>
  <c r="AS344" i="47" s="1"/>
  <c r="AS345" i="47" s="1"/>
  <c r="AS346" i="47" s="1"/>
  <c r="AS347" i="47" s="1"/>
  <c r="AS348" i="47" s="1"/>
  <c r="AS349" i="47" s="1"/>
  <c r="AS350" i="47" s="1"/>
  <c r="AS351" i="47" s="1"/>
  <c r="AS352" i="47" s="1"/>
  <c r="AS353" i="47" s="1"/>
  <c r="AS354" i="47" s="1"/>
  <c r="AS355" i="47" s="1"/>
  <c r="AS356" i="47" s="1"/>
  <c r="AS357" i="47" s="1"/>
  <c r="AS358" i="47" s="1"/>
  <c r="AS359" i="47" s="1"/>
  <c r="AS360" i="47" s="1"/>
  <c r="AS361" i="47" s="1"/>
  <c r="AS362" i="47" s="1"/>
  <c r="AS363" i="47" s="1"/>
  <c r="AS364" i="47" s="1"/>
  <c r="AS365" i="47" s="1"/>
  <c r="AS366" i="47" s="1"/>
  <c r="AS367" i="47" s="1"/>
  <c r="AS368" i="47" s="1"/>
  <c r="AS369" i="47" s="1"/>
  <c r="AS370" i="47" s="1"/>
  <c r="AS371" i="47" s="1"/>
  <c r="AS372" i="47" s="1"/>
  <c r="AS373" i="47" s="1"/>
  <c r="AS374" i="47" s="1"/>
  <c r="AS375" i="47" s="1"/>
  <c r="AS376" i="47" s="1"/>
  <c r="AS377" i="47" s="1"/>
  <c r="AS378" i="47" s="1"/>
  <c r="AS379" i="47" s="1"/>
  <c r="AS380" i="47" s="1"/>
  <c r="AS381" i="47" s="1"/>
  <c r="AS382" i="47" s="1"/>
  <c r="AS383" i="47" s="1"/>
  <c r="AS384" i="47" s="1"/>
  <c r="AS385" i="47" s="1"/>
  <c r="AS386" i="47" s="1"/>
  <c r="AS387" i="47" s="1"/>
  <c r="AS388" i="47" s="1"/>
  <c r="AS389" i="47" s="1"/>
  <c r="AS390" i="47" s="1"/>
  <c r="AS391" i="47" s="1"/>
  <c r="AS392" i="47" s="1"/>
  <c r="AS393" i="47" s="1"/>
  <c r="AS394" i="47" s="1"/>
  <c r="AS395" i="47" s="1"/>
  <c r="AS396" i="47" s="1"/>
  <c r="AS397" i="47" s="1"/>
  <c r="AS398" i="47" s="1"/>
  <c r="AS399" i="47" s="1"/>
  <c r="AS400" i="47" s="1"/>
  <c r="AS401" i="47" s="1"/>
  <c r="AS402" i="47" s="1"/>
  <c r="AS403" i="47" s="1"/>
  <c r="AS404" i="47" s="1"/>
  <c r="AS405" i="47" s="1"/>
  <c r="AS406" i="47" s="1"/>
  <c r="AS407" i="47" s="1"/>
  <c r="AS408" i="47" s="1"/>
  <c r="AS409" i="47" s="1"/>
  <c r="AS410" i="47" s="1"/>
  <c r="AS411" i="47" s="1"/>
  <c r="AS412" i="47" s="1"/>
  <c r="AS413" i="47" s="1"/>
  <c r="AS414" i="47" s="1"/>
  <c r="AS415" i="47" s="1"/>
  <c r="AS416" i="47" s="1"/>
  <c r="AS417" i="47" s="1"/>
  <c r="AS418" i="47" s="1"/>
  <c r="AS419" i="47" s="1"/>
  <c r="AS420" i="47" s="1"/>
  <c r="AS421" i="47" s="1"/>
  <c r="AS422" i="47" s="1"/>
  <c r="AS423" i="47" s="1"/>
  <c r="AS424" i="47" s="1"/>
  <c r="AS425" i="47" s="1"/>
  <c r="AS426" i="47" s="1"/>
  <c r="AS427" i="47" s="1"/>
  <c r="AS428" i="47" s="1"/>
  <c r="AS429" i="47" s="1"/>
  <c r="AS430" i="47" s="1"/>
  <c r="AS431" i="47" s="1"/>
  <c r="AS432" i="47" s="1"/>
  <c r="AS433" i="47" s="1"/>
  <c r="AS434" i="47" s="1"/>
  <c r="AS435" i="47" s="1"/>
  <c r="AS436" i="47" s="1"/>
  <c r="AS437" i="47" s="1"/>
  <c r="AS438" i="47" s="1"/>
  <c r="AS439" i="47" s="1"/>
  <c r="AS440" i="47" s="1"/>
  <c r="AS441" i="47" s="1"/>
  <c r="AS442" i="47" s="1"/>
  <c r="AS443" i="47" s="1"/>
  <c r="AS444" i="47" s="1"/>
  <c r="AS445" i="47" s="1"/>
  <c r="AS446" i="47" s="1"/>
  <c r="AS447" i="47" s="1"/>
  <c r="AS448" i="47" s="1"/>
  <c r="AS449" i="47" s="1"/>
  <c r="AS450" i="47" s="1"/>
  <c r="AS451" i="47" s="1"/>
  <c r="AS452" i="47" s="1"/>
  <c r="AS453" i="47" s="1"/>
  <c r="AS454" i="47" s="1"/>
  <c r="AS455" i="47" s="1"/>
  <c r="AS456" i="47" s="1"/>
  <c r="AS457" i="47" s="1"/>
  <c r="AS458" i="47" s="1"/>
  <c r="AS459" i="47" s="1"/>
  <c r="AS460" i="47" s="1"/>
  <c r="AS461" i="47" s="1"/>
  <c r="AS462" i="47" s="1"/>
  <c r="AS463" i="47" s="1"/>
  <c r="AS464" i="47" s="1"/>
  <c r="AS465" i="47" s="1"/>
  <c r="AS466" i="47" s="1"/>
  <c r="AS467" i="47" s="1"/>
  <c r="AS468" i="47" s="1"/>
  <c r="AS469" i="47" s="1"/>
  <c r="AS470" i="47" s="1"/>
  <c r="AS471" i="47" s="1"/>
  <c r="AS472" i="47" s="1"/>
  <c r="AS473" i="47" s="1"/>
  <c r="AS474" i="47" s="1"/>
  <c r="AS475" i="47" s="1"/>
  <c r="AS476" i="47" s="1"/>
  <c r="AS477" i="47" s="1"/>
  <c r="AS478" i="47" s="1"/>
  <c r="AS479" i="47" s="1"/>
  <c r="AS480" i="47" s="1"/>
  <c r="AS481" i="47" s="1"/>
  <c r="AS482" i="47" s="1"/>
  <c r="AS483" i="47" s="1"/>
  <c r="AS484" i="47" s="1"/>
  <c r="AS485" i="47" s="1"/>
  <c r="AS486" i="47" s="1"/>
  <c r="AS487" i="47" s="1"/>
  <c r="AS488" i="47" s="1"/>
  <c r="AS489" i="47" s="1"/>
  <c r="AS490" i="47" s="1"/>
  <c r="AS491" i="47" s="1"/>
  <c r="AS492" i="47" s="1"/>
  <c r="AS493" i="47" s="1"/>
  <c r="AS494" i="47" s="1"/>
  <c r="AS495" i="47" s="1"/>
  <c r="AS496" i="47" s="1"/>
  <c r="AS497" i="47" s="1"/>
  <c r="AS498" i="47" s="1"/>
  <c r="AS499" i="47" s="1"/>
  <c r="AS500" i="47" s="1"/>
  <c r="AS501" i="47" s="1"/>
  <c r="AT55" i="47"/>
  <c r="AO55" i="47" s="1"/>
  <c r="AQ56" i="47"/>
  <c r="AN55" i="47"/>
  <c r="T89" i="26" l="1"/>
  <c r="R89" i="26"/>
  <c r="S90" i="26"/>
  <c r="AB77" i="21"/>
  <c r="AV51" i="47"/>
  <c r="C90" i="49"/>
  <c r="B89" i="49"/>
  <c r="H89" i="49"/>
  <c r="D88" i="49"/>
  <c r="E88" i="49" s="1"/>
  <c r="I88" i="49"/>
  <c r="AP55" i="47"/>
  <c r="AT56" i="47"/>
  <c r="AP56" i="47" s="1"/>
  <c r="AQ57" i="47"/>
  <c r="AN56" i="47"/>
  <c r="S91" i="26" l="1"/>
  <c r="T90" i="26"/>
  <c r="R90" i="26"/>
  <c r="AB78" i="21"/>
  <c r="D89" i="49"/>
  <c r="E89" i="49" s="1"/>
  <c r="I89" i="49"/>
  <c r="H90" i="49"/>
  <c r="B90" i="49"/>
  <c r="C91" i="49"/>
  <c r="AO56" i="47"/>
  <c r="AT57" i="47"/>
  <c r="AO57" i="47" s="1"/>
  <c r="AQ58" i="47"/>
  <c r="AN57" i="47"/>
  <c r="T91" i="26" l="1"/>
  <c r="S92" i="26"/>
  <c r="R91" i="26"/>
  <c r="AB79" i="21"/>
  <c r="AP57" i="47"/>
  <c r="D90" i="49"/>
  <c r="E90" i="49" s="1"/>
  <c r="I90" i="49"/>
  <c r="B91" i="49"/>
  <c r="H91" i="49"/>
  <c r="C92" i="49"/>
  <c r="AT58" i="47"/>
  <c r="AP58" i="47" s="1"/>
  <c r="AQ59" i="47"/>
  <c r="AN58" i="47"/>
  <c r="S93" i="26" l="1"/>
  <c r="T92" i="26"/>
  <c r="R92" i="26"/>
  <c r="AB80" i="21"/>
  <c r="C93" i="49"/>
  <c r="H92" i="49"/>
  <c r="B92" i="49"/>
  <c r="I91" i="49"/>
  <c r="D91" i="49"/>
  <c r="E91" i="49" s="1"/>
  <c r="AO58" i="47"/>
  <c r="AN59" i="47"/>
  <c r="AT59" i="47"/>
  <c r="AO59" i="47" s="1"/>
  <c r="AQ60" i="47"/>
  <c r="T93" i="26" l="1"/>
  <c r="R93" i="26"/>
  <c r="S94" i="26"/>
  <c r="AB81" i="21"/>
  <c r="I92" i="49"/>
  <c r="D92" i="49"/>
  <c r="E92" i="49" s="1"/>
  <c r="H93" i="49"/>
  <c r="B93" i="49"/>
  <c r="C94" i="49"/>
  <c r="AT60" i="47"/>
  <c r="AP60" i="47" s="1"/>
  <c r="AQ61" i="47"/>
  <c r="AN60" i="47"/>
  <c r="AP59" i="47"/>
  <c r="S95" i="26" l="1"/>
  <c r="T94" i="26"/>
  <c r="R94" i="26"/>
  <c r="AB82" i="21"/>
  <c r="AO60" i="47"/>
  <c r="B94" i="49"/>
  <c r="C95" i="49"/>
  <c r="H94" i="49"/>
  <c r="D93" i="49"/>
  <c r="E93" i="49" s="1"/>
  <c r="I93" i="49"/>
  <c r="AT61" i="47"/>
  <c r="AO61" i="47" s="1"/>
  <c r="AQ62" i="47"/>
  <c r="AN61" i="47"/>
  <c r="T95" i="26" l="1"/>
  <c r="S96" i="26"/>
  <c r="R95" i="26"/>
  <c r="AB83" i="21"/>
  <c r="H95" i="49"/>
  <c r="B95" i="49"/>
  <c r="C96" i="49"/>
  <c r="D94" i="49"/>
  <c r="E94" i="49" s="1"/>
  <c r="I94" i="49"/>
  <c r="AP61" i="47"/>
  <c r="AT62" i="47"/>
  <c r="AO62" i="47" s="1"/>
  <c r="AQ63" i="47"/>
  <c r="AN62" i="47"/>
  <c r="S97" i="26" l="1"/>
  <c r="T96" i="26"/>
  <c r="R96" i="26"/>
  <c r="AB84" i="21"/>
  <c r="AP62" i="47"/>
  <c r="C97" i="49"/>
  <c r="H96" i="49"/>
  <c r="B96" i="49"/>
  <c r="D95" i="49"/>
  <c r="E95" i="49" s="1"/>
  <c r="I95" i="49"/>
  <c r="AT63" i="47"/>
  <c r="AO63" i="47" s="1"/>
  <c r="AQ64" i="47"/>
  <c r="AN63" i="47"/>
  <c r="T97" i="26" l="1"/>
  <c r="R97" i="26"/>
  <c r="S98" i="26"/>
  <c r="AB85" i="21"/>
  <c r="AP63" i="47"/>
  <c r="D96" i="49"/>
  <c r="E96" i="49" s="1"/>
  <c r="I96" i="49"/>
  <c r="B97" i="49"/>
  <c r="C98" i="49"/>
  <c r="H97" i="49"/>
  <c r="AT64" i="47"/>
  <c r="AO64" i="47" s="1"/>
  <c r="AQ65" i="47"/>
  <c r="AN64" i="47"/>
  <c r="S99" i="26" l="1"/>
  <c r="T98" i="26"/>
  <c r="R98" i="26"/>
  <c r="AB86" i="21"/>
  <c r="AP64" i="47"/>
  <c r="I97" i="49"/>
  <c r="D97" i="49"/>
  <c r="E97" i="49" s="1"/>
  <c r="C99" i="49"/>
  <c r="H98" i="49"/>
  <c r="B98" i="49"/>
  <c r="AT65" i="47"/>
  <c r="AO65" i="47" s="1"/>
  <c r="AQ66" i="47"/>
  <c r="AN65" i="47"/>
  <c r="T99" i="26" l="1"/>
  <c r="R99" i="26"/>
  <c r="S100" i="26"/>
  <c r="AB87" i="21"/>
  <c r="AP65" i="47"/>
  <c r="C100" i="49"/>
  <c r="H99" i="49"/>
  <c r="B99" i="49"/>
  <c r="D98" i="49"/>
  <c r="E98" i="49" s="1"/>
  <c r="I98" i="49"/>
  <c r="AT66" i="47"/>
  <c r="AO66" i="47" s="1"/>
  <c r="AQ67" i="47"/>
  <c r="AN66" i="47"/>
  <c r="S101" i="26" l="1"/>
  <c r="T100" i="26"/>
  <c r="R100" i="26"/>
  <c r="AB88" i="21"/>
  <c r="D99" i="49"/>
  <c r="E99" i="49" s="1"/>
  <c r="I99" i="49"/>
  <c r="C101" i="49"/>
  <c r="H100" i="49"/>
  <c r="B100" i="49"/>
  <c r="AP66" i="47"/>
  <c r="AN67" i="47"/>
  <c r="AQ68" i="47"/>
  <c r="AT67" i="47"/>
  <c r="AO67" i="47" s="1"/>
  <c r="T101" i="26" l="1"/>
  <c r="R101" i="26"/>
  <c r="AB89" i="21"/>
  <c r="C102" i="49"/>
  <c r="B101" i="49"/>
  <c r="H101" i="49"/>
  <c r="I100" i="49"/>
  <c r="D100" i="49"/>
  <c r="E100" i="49" s="1"/>
  <c r="AT68" i="47"/>
  <c r="AP68" i="47" s="1"/>
  <c r="AQ69" i="47"/>
  <c r="AN68" i="47"/>
  <c r="AP67" i="47"/>
  <c r="AB90" i="21" l="1"/>
  <c r="AO68" i="47"/>
  <c r="D101" i="49"/>
  <c r="E101" i="49" s="1"/>
  <c r="I101" i="49"/>
  <c r="H102" i="49"/>
  <c r="B102" i="49"/>
  <c r="C103" i="49"/>
  <c r="AT69" i="47"/>
  <c r="AP69" i="47" s="1"/>
  <c r="AQ70" i="47"/>
  <c r="AN69" i="47"/>
  <c r="AB91" i="21" l="1"/>
  <c r="AO69" i="47"/>
  <c r="H103" i="49"/>
  <c r="C104" i="49"/>
  <c r="B103" i="49"/>
  <c r="I102" i="49"/>
  <c r="D102" i="49"/>
  <c r="E102" i="49" s="1"/>
  <c r="AT70" i="47"/>
  <c r="AO70" i="47" s="1"/>
  <c r="AQ71" i="47"/>
  <c r="AN70" i="47"/>
  <c r="AB92" i="21" l="1"/>
  <c r="AP70" i="47"/>
  <c r="H104" i="49"/>
  <c r="C105" i="49"/>
  <c r="B104" i="49"/>
  <c r="I103" i="49"/>
  <c r="D103" i="49"/>
  <c r="E103" i="49" s="1"/>
  <c r="AT71" i="47"/>
  <c r="AO71" i="47" s="1"/>
  <c r="AQ72" i="47"/>
  <c r="AN71" i="47"/>
  <c r="AB93" i="21" l="1"/>
  <c r="AP71" i="47"/>
  <c r="D104" i="49"/>
  <c r="E104" i="49" s="1"/>
  <c r="I104" i="49"/>
  <c r="C106" i="49"/>
  <c r="B105" i="49"/>
  <c r="H105" i="49"/>
  <c r="AT72" i="47"/>
  <c r="AO72" i="47" s="1"/>
  <c r="AQ73" i="47"/>
  <c r="AN72" i="47"/>
  <c r="AB94" i="21" l="1"/>
  <c r="AP72" i="47"/>
  <c r="D105" i="49"/>
  <c r="E105" i="49" s="1"/>
  <c r="I105" i="49"/>
  <c r="B106" i="49"/>
  <c r="C107" i="49"/>
  <c r="H106" i="49"/>
  <c r="AT73" i="47"/>
  <c r="AO73" i="47" s="1"/>
  <c r="AQ74" i="47"/>
  <c r="AN73" i="47"/>
  <c r="AB95" i="21" l="1"/>
  <c r="AP73" i="47"/>
  <c r="H107" i="49"/>
  <c r="B107" i="49"/>
  <c r="C108" i="49"/>
  <c r="D106" i="49"/>
  <c r="E106" i="49" s="1"/>
  <c r="I106" i="49"/>
  <c r="AT74" i="47"/>
  <c r="AO74" i="47" s="1"/>
  <c r="AQ75" i="47"/>
  <c r="AN74" i="47"/>
  <c r="AB96" i="21" l="1"/>
  <c r="AP74" i="47"/>
  <c r="C109" i="49"/>
  <c r="H108" i="49"/>
  <c r="B108" i="49"/>
  <c r="I107" i="49"/>
  <c r="D107" i="49"/>
  <c r="E107" i="49" s="1"/>
  <c r="AN75" i="47"/>
  <c r="AQ76" i="47"/>
  <c r="AT75" i="47"/>
  <c r="AO75" i="47" s="1"/>
  <c r="AB97" i="21" l="1"/>
  <c r="B109" i="49"/>
  <c r="C110" i="49"/>
  <c r="H109" i="49"/>
  <c r="D108" i="49"/>
  <c r="E108" i="49" s="1"/>
  <c r="I108" i="49"/>
  <c r="AP75" i="47"/>
  <c r="AT76" i="47"/>
  <c r="AP76" i="47" s="1"/>
  <c r="AQ77" i="47"/>
  <c r="AN76" i="47"/>
  <c r="AB98" i="21" l="1"/>
  <c r="AO76" i="47"/>
  <c r="C111" i="49"/>
  <c r="B110" i="49"/>
  <c r="H110" i="49"/>
  <c r="D109" i="49"/>
  <c r="E109" i="49" s="1"/>
  <c r="I109" i="49"/>
  <c r="AT77" i="47"/>
  <c r="AP77" i="47" s="1"/>
  <c r="AQ78" i="47"/>
  <c r="AN77" i="47"/>
  <c r="AB99" i="21" l="1"/>
  <c r="AO77" i="47"/>
  <c r="D110" i="49"/>
  <c r="E110" i="49" s="1"/>
  <c r="I110" i="49"/>
  <c r="C112" i="49"/>
  <c r="H111" i="49"/>
  <c r="B111" i="49"/>
  <c r="AT78" i="47"/>
  <c r="AO78" i="47" s="1"/>
  <c r="AQ79" i="47"/>
  <c r="AN78" i="47"/>
  <c r="AB100" i="21" l="1"/>
  <c r="AP78" i="47"/>
  <c r="C113" i="49"/>
  <c r="H112" i="49"/>
  <c r="B112" i="49"/>
  <c r="D111" i="49"/>
  <c r="E111" i="49" s="1"/>
  <c r="I111" i="49"/>
  <c r="AT79" i="47"/>
  <c r="AP79" i="47" s="1"/>
  <c r="AQ80" i="47"/>
  <c r="AN79" i="47"/>
  <c r="AB101" i="21" l="1"/>
  <c r="AO79" i="47"/>
  <c r="D112" i="49"/>
  <c r="E112" i="49" s="1"/>
  <c r="I112" i="49"/>
  <c r="C114" i="49"/>
  <c r="H113" i="49"/>
  <c r="B113" i="49"/>
  <c r="AT80" i="47"/>
  <c r="AO80" i="47" s="1"/>
  <c r="AQ81" i="47"/>
  <c r="AN80" i="47"/>
  <c r="AP80" i="47" l="1"/>
  <c r="C115" i="49"/>
  <c r="H114" i="49"/>
  <c r="B114" i="49"/>
  <c r="I113" i="49"/>
  <c r="D113" i="49"/>
  <c r="E113" i="49" s="1"/>
  <c r="AN81" i="47"/>
  <c r="AT81" i="47"/>
  <c r="AO81" i="47" s="1"/>
  <c r="AQ82" i="47"/>
  <c r="AP81" i="47" l="1"/>
  <c r="I114" i="49"/>
  <c r="D114" i="49"/>
  <c r="E114" i="49" s="1"/>
  <c r="C116" i="49"/>
  <c r="H115" i="49"/>
  <c r="B115" i="49"/>
  <c r="AQ83" i="47"/>
  <c r="AN82" i="47"/>
  <c r="AT82" i="47"/>
  <c r="AO82" i="47" s="1"/>
  <c r="AP82" i="47"/>
  <c r="D115" i="49" l="1"/>
  <c r="E115" i="49" s="1"/>
  <c r="I115" i="49"/>
  <c r="C117" i="49"/>
  <c r="H116" i="49"/>
  <c r="B116" i="49"/>
  <c r="AN83" i="47"/>
  <c r="AT83" i="47"/>
  <c r="AO83" i="47" s="1"/>
  <c r="AQ84" i="47"/>
  <c r="D116" i="49" l="1"/>
  <c r="E116" i="49" s="1"/>
  <c r="I116" i="49"/>
  <c r="H117" i="49"/>
  <c r="B117" i="49"/>
  <c r="C118" i="49"/>
  <c r="AT84" i="47"/>
  <c r="AO84" i="47" s="1"/>
  <c r="AQ85" i="47"/>
  <c r="AP84" i="47"/>
  <c r="AN84" i="47"/>
  <c r="AP83" i="47"/>
  <c r="B118" i="49" l="1"/>
  <c r="H118" i="49"/>
  <c r="C119" i="49"/>
  <c r="D117" i="49"/>
  <c r="E117" i="49" s="1"/>
  <c r="I117" i="49"/>
  <c r="AT85" i="47"/>
  <c r="AO85" i="47" s="1"/>
  <c r="AQ86" i="47"/>
  <c r="AP85" i="47"/>
  <c r="AN85" i="47"/>
  <c r="H119" i="49" l="1"/>
  <c r="B119" i="49"/>
  <c r="C120" i="49"/>
  <c r="D118" i="49"/>
  <c r="E118" i="49" s="1"/>
  <c r="I118" i="49"/>
  <c r="AT86" i="47"/>
  <c r="AO86" i="47" s="1"/>
  <c r="AQ87" i="47"/>
  <c r="AP86" i="47"/>
  <c r="AN86" i="47"/>
  <c r="D119" i="49" l="1"/>
  <c r="E119" i="49" s="1"/>
  <c r="I119" i="49"/>
  <c r="C121" i="49"/>
  <c r="H120" i="49"/>
  <c r="B120" i="49"/>
  <c r="AT87" i="47"/>
  <c r="AO87" i="47" s="1"/>
  <c r="AQ88" i="47"/>
  <c r="AP87" i="47"/>
  <c r="AN87" i="47"/>
  <c r="D120" i="49" l="1"/>
  <c r="E120" i="49" s="1"/>
  <c r="I120" i="49"/>
  <c r="C122" i="49"/>
  <c r="H121" i="49"/>
  <c r="B121" i="49"/>
  <c r="AT88" i="47"/>
  <c r="AP88" i="47" s="1"/>
  <c r="AQ89" i="47"/>
  <c r="AN88" i="47"/>
  <c r="AO88" i="47" l="1"/>
  <c r="C123" i="49"/>
  <c r="B122" i="49"/>
  <c r="H122" i="49"/>
  <c r="I121" i="49"/>
  <c r="D121" i="49"/>
  <c r="E121" i="49" s="1"/>
  <c r="AT89" i="47"/>
  <c r="AP89" i="47" s="1"/>
  <c r="AN89" i="47"/>
  <c r="AQ90" i="47"/>
  <c r="AO89" i="47" l="1"/>
  <c r="D122" i="49"/>
  <c r="E122" i="49" s="1"/>
  <c r="I122" i="49"/>
  <c r="H123" i="49"/>
  <c r="B123" i="49"/>
  <c r="C124" i="49"/>
  <c r="AN90" i="47"/>
  <c r="AQ91" i="47"/>
  <c r="AT90" i="47"/>
  <c r="AP90" i="47" s="1"/>
  <c r="C125" i="49" l="1"/>
  <c r="B124" i="49"/>
  <c r="H124" i="49"/>
  <c r="D123" i="49"/>
  <c r="E123" i="49" s="1"/>
  <c r="I123" i="49"/>
  <c r="AT91" i="47"/>
  <c r="AP91" i="47" s="1"/>
  <c r="AQ92" i="47"/>
  <c r="AO91" i="47"/>
  <c r="AN91" i="47"/>
  <c r="AO90" i="47"/>
  <c r="I124" i="49" l="1"/>
  <c r="D124" i="49"/>
  <c r="E124" i="49" s="1"/>
  <c r="B125" i="49"/>
  <c r="C126" i="49"/>
  <c r="H125" i="49"/>
  <c r="AT92" i="47"/>
  <c r="AP92" i="47" s="1"/>
  <c r="AQ93" i="47"/>
  <c r="AO92" i="47"/>
  <c r="AN92" i="47"/>
  <c r="C127" i="49" l="1"/>
  <c r="H126" i="49"/>
  <c r="B126" i="49"/>
  <c r="I125" i="49"/>
  <c r="D125" i="49"/>
  <c r="E125" i="49" s="1"/>
  <c r="AQ94" i="47"/>
  <c r="AT93" i="47"/>
  <c r="AP93" i="47" s="1"/>
  <c r="AN93" i="47"/>
  <c r="I126" i="49" l="1"/>
  <c r="D126" i="49"/>
  <c r="E126" i="49" s="1"/>
  <c r="H127" i="49"/>
  <c r="C128" i="49"/>
  <c r="B127" i="49"/>
  <c r="AO93" i="47"/>
  <c r="AT94" i="47"/>
  <c r="AP94" i="47" s="1"/>
  <c r="AQ95" i="47"/>
  <c r="AN94" i="47"/>
  <c r="AO94" i="47" l="1"/>
  <c r="C129" i="49"/>
  <c r="H128" i="49"/>
  <c r="B128" i="49"/>
  <c r="I127" i="49"/>
  <c r="D127" i="49"/>
  <c r="E127" i="49" s="1"/>
  <c r="AT95" i="47"/>
  <c r="AO95" i="47" s="1"/>
  <c r="AQ96" i="47"/>
  <c r="AN95" i="47"/>
  <c r="AP95" i="47" l="1"/>
  <c r="D128" i="49"/>
  <c r="E128" i="49" s="1"/>
  <c r="I128" i="49"/>
  <c r="B129" i="49"/>
  <c r="H129" i="49"/>
  <c r="C130" i="49"/>
  <c r="AT96" i="47"/>
  <c r="AO96" i="47" s="1"/>
  <c r="AQ97" i="47"/>
  <c r="AN96" i="47"/>
  <c r="AP96" i="47" l="1"/>
  <c r="C131" i="49"/>
  <c r="H130" i="49"/>
  <c r="B130" i="49"/>
  <c r="I129" i="49"/>
  <c r="D129" i="49"/>
  <c r="E129" i="49" s="1"/>
  <c r="AQ98" i="47"/>
  <c r="AT97" i="47"/>
  <c r="AO97" i="47" s="1"/>
  <c r="AN97" i="47"/>
  <c r="D130" i="49" l="1"/>
  <c r="E130" i="49" s="1"/>
  <c r="I130" i="49"/>
  <c r="H131" i="49"/>
  <c r="B131" i="49"/>
  <c r="C132" i="49"/>
  <c r="AQ99" i="47"/>
  <c r="AT98" i="47"/>
  <c r="AO98" i="47" s="1"/>
  <c r="AN98" i="47"/>
  <c r="AP97" i="47"/>
  <c r="AP98" i="47" l="1"/>
  <c r="I131" i="49"/>
  <c r="D131" i="49"/>
  <c r="E131" i="49" s="1"/>
  <c r="H132" i="49"/>
  <c r="C133" i="49"/>
  <c r="B132" i="49"/>
  <c r="AT99" i="47"/>
  <c r="AO99" i="47" s="1"/>
  <c r="AQ100" i="47"/>
  <c r="AN99" i="47"/>
  <c r="AP99" i="47" l="1"/>
  <c r="D132" i="49"/>
  <c r="E132" i="49" s="1"/>
  <c r="I132" i="49"/>
  <c r="C134" i="49"/>
  <c r="B133" i="49"/>
  <c r="H133" i="49"/>
  <c r="AT100" i="47"/>
  <c r="AP100" i="47" s="1"/>
  <c r="AQ101" i="47"/>
  <c r="AN100" i="47"/>
  <c r="AO100" i="47" l="1"/>
  <c r="D133" i="49"/>
  <c r="E133" i="49" s="1"/>
  <c r="I133" i="49"/>
  <c r="C135" i="49"/>
  <c r="H134" i="49"/>
  <c r="B134" i="49"/>
  <c r="AQ102" i="47"/>
  <c r="AT101" i="47"/>
  <c r="AP101" i="47" s="1"/>
  <c r="AN101" i="47"/>
  <c r="AO101" i="47" l="1"/>
  <c r="H135" i="49"/>
  <c r="B135" i="49"/>
  <c r="C136" i="49"/>
  <c r="D134" i="49"/>
  <c r="E134" i="49" s="1"/>
  <c r="I134" i="49"/>
  <c r="AT102" i="47"/>
  <c r="AP102" i="47" s="1"/>
  <c r="AQ103" i="47"/>
  <c r="AN102" i="47"/>
  <c r="AD4" i="21"/>
  <c r="AD5" i="21" s="1"/>
  <c r="AF3" i="21"/>
  <c r="AE3" i="21" s="1"/>
  <c r="AL12" i="21"/>
  <c r="AK19" i="21"/>
  <c r="AK8" i="21"/>
  <c r="AO102" i="47" l="1"/>
  <c r="C137" i="49"/>
  <c r="H136" i="49"/>
  <c r="B136" i="49"/>
  <c r="I135" i="49"/>
  <c r="D135" i="49"/>
  <c r="E135" i="49" s="1"/>
  <c r="AT103" i="47"/>
  <c r="AO103" i="47" s="1"/>
  <c r="AQ104" i="47"/>
  <c r="AN103" i="47"/>
  <c r="AD6" i="21"/>
  <c r="AF5" i="21"/>
  <c r="AL10" i="21"/>
  <c r="AK7" i="21"/>
  <c r="AK11" i="21"/>
  <c r="AK23" i="21"/>
  <c r="AL19" i="21"/>
  <c r="AK21" i="21"/>
  <c r="AK6" i="21"/>
  <c r="AK13" i="21"/>
  <c r="AK15" i="21"/>
  <c r="AL5" i="21"/>
  <c r="AL24" i="21"/>
  <c r="AK14" i="21"/>
  <c r="AF4" i="21"/>
  <c r="AE4" i="21" s="1"/>
  <c r="AK25" i="21"/>
  <c r="AG27" i="21" s="1"/>
  <c r="AK4" i="21"/>
  <c r="AL8" i="21"/>
  <c r="AL3" i="21"/>
  <c r="AL16" i="21"/>
  <c r="AK22" i="21"/>
  <c r="AK17" i="21"/>
  <c r="AK20" i="21"/>
  <c r="AK10" i="21"/>
  <c r="AL14" i="21"/>
  <c r="AL17" i="21"/>
  <c r="AK24" i="21"/>
  <c r="AL23" i="21"/>
  <c r="AL22" i="21"/>
  <c r="AL6" i="21"/>
  <c r="AK18" i="21"/>
  <c r="AL25" i="21"/>
  <c r="AH29" i="21" s="1"/>
  <c r="AL18" i="21"/>
  <c r="AL7" i="21"/>
  <c r="AK16" i="21"/>
  <c r="AL21" i="21"/>
  <c r="AK5" i="21"/>
  <c r="AK9" i="21"/>
  <c r="AL20" i="21"/>
  <c r="AK12" i="21"/>
  <c r="AL13" i="21"/>
  <c r="AL4" i="21"/>
  <c r="AL9" i="21"/>
  <c r="AL15" i="21"/>
  <c r="AL11" i="21"/>
  <c r="AK3" i="21"/>
  <c r="AH26" i="21" l="1"/>
  <c r="AH28" i="21"/>
  <c r="AG26" i="21"/>
  <c r="AH27" i="21"/>
  <c r="AH8" i="21"/>
  <c r="AG8" i="21"/>
  <c r="AH19" i="21"/>
  <c r="AG14" i="21"/>
  <c r="AP103" i="47"/>
  <c r="AG11" i="21"/>
  <c r="AH13" i="21"/>
  <c r="AG7" i="21"/>
  <c r="AG18" i="21"/>
  <c r="D136" i="49"/>
  <c r="E136" i="49" s="1"/>
  <c r="I136" i="49"/>
  <c r="H137" i="49"/>
  <c r="B137" i="49"/>
  <c r="C138" i="49"/>
  <c r="AT104" i="47"/>
  <c r="AO104" i="47" s="1"/>
  <c r="AQ105" i="47"/>
  <c r="AP104" i="47"/>
  <c r="AN104" i="47"/>
  <c r="AH25" i="21"/>
  <c r="AG22" i="21"/>
  <c r="AH24" i="21"/>
  <c r="AG20" i="21"/>
  <c r="AH18" i="21"/>
  <c r="AG17" i="21"/>
  <c r="AG23" i="21"/>
  <c r="AH10" i="21"/>
  <c r="AG12" i="21"/>
  <c r="AG6" i="21"/>
  <c r="AH23" i="21"/>
  <c r="AG25" i="21"/>
  <c r="AG19" i="21"/>
  <c r="AG15" i="21"/>
  <c r="AF6" i="21"/>
  <c r="AD7" i="21"/>
  <c r="AG24" i="21"/>
  <c r="AG13" i="21"/>
  <c r="AH11" i="21"/>
  <c r="AH20" i="21"/>
  <c r="AG9" i="21"/>
  <c r="AG21" i="21"/>
  <c r="AG5" i="21"/>
  <c r="AE5" i="21" s="1"/>
  <c r="AH22" i="21"/>
  <c r="AH21" i="21"/>
  <c r="AH7" i="21"/>
  <c r="AH14" i="21"/>
  <c r="AG10" i="21"/>
  <c r="AH17" i="21"/>
  <c r="AH15" i="21"/>
  <c r="AH12" i="21"/>
  <c r="AG16" i="21"/>
  <c r="AH9" i="21"/>
  <c r="AH16" i="21"/>
  <c r="AE6" i="21" l="1"/>
  <c r="C139" i="49"/>
  <c r="H138" i="49"/>
  <c r="B138" i="49"/>
  <c r="I137" i="49"/>
  <c r="D137" i="49"/>
  <c r="E137" i="49" s="1"/>
  <c r="AT105" i="47"/>
  <c r="AP105" i="47" s="1"/>
  <c r="AQ106" i="47"/>
  <c r="AN105" i="47"/>
  <c r="AD8" i="21"/>
  <c r="AF7" i="21"/>
  <c r="AE7" i="21" s="1"/>
  <c r="D138" i="49" l="1"/>
  <c r="E138" i="49" s="1"/>
  <c r="I138" i="49"/>
  <c r="H139" i="49"/>
  <c r="B139" i="49"/>
  <c r="C140" i="49"/>
  <c r="AQ107" i="47"/>
  <c r="AT106" i="47"/>
  <c r="AO106" i="47" s="1"/>
  <c r="AN106" i="47"/>
  <c r="AO105" i="47"/>
  <c r="AF8" i="21"/>
  <c r="AE8" i="21" s="1"/>
  <c r="AD9" i="21"/>
  <c r="AP106" i="47" l="1"/>
  <c r="H140" i="49"/>
  <c r="C141" i="49"/>
  <c r="B140" i="49"/>
  <c r="I139" i="49"/>
  <c r="D139" i="49"/>
  <c r="E139" i="49" s="1"/>
  <c r="AT107" i="47"/>
  <c r="AO107" i="47" s="1"/>
  <c r="AQ108" i="47"/>
  <c r="AN107" i="47"/>
  <c r="AD10" i="21"/>
  <c r="AF9" i="21"/>
  <c r="AE9" i="21" s="1"/>
  <c r="AP107" i="47" l="1"/>
  <c r="I140" i="49"/>
  <c r="D140" i="49"/>
  <c r="E140" i="49" s="1"/>
  <c r="C142" i="49"/>
  <c r="H141" i="49"/>
  <c r="B141" i="49"/>
  <c r="AT108" i="47"/>
  <c r="AO108" i="47" s="1"/>
  <c r="AQ109" i="47"/>
  <c r="AN108" i="47"/>
  <c r="AF10" i="21"/>
  <c r="AE10" i="21" s="1"/>
  <c r="AD11" i="21"/>
  <c r="AP108" i="47" l="1"/>
  <c r="I141" i="49"/>
  <c r="D141" i="49"/>
  <c r="E141" i="49" s="1"/>
  <c r="C143" i="49"/>
  <c r="H142" i="49"/>
  <c r="B142" i="49"/>
  <c r="AT109" i="47"/>
  <c r="AP109" i="47" s="1"/>
  <c r="AQ110" i="47"/>
  <c r="AN109" i="47"/>
  <c r="AF11" i="21"/>
  <c r="AE11" i="21" s="1"/>
  <c r="AD12" i="21"/>
  <c r="AO109" i="47" l="1"/>
  <c r="I142" i="49"/>
  <c r="D142" i="49"/>
  <c r="E142" i="49" s="1"/>
  <c r="H143" i="49"/>
  <c r="C144" i="49"/>
  <c r="B143" i="49"/>
  <c r="AT110" i="47"/>
  <c r="AO110" i="47" s="1"/>
  <c r="AQ111" i="47"/>
  <c r="AN110" i="47"/>
  <c r="AF12" i="21"/>
  <c r="AE12" i="21" s="1"/>
  <c r="AD13" i="21"/>
  <c r="AP110" i="47" l="1"/>
  <c r="D143" i="49"/>
  <c r="E143" i="49" s="1"/>
  <c r="I143" i="49"/>
  <c r="C145" i="49"/>
  <c r="B144" i="49"/>
  <c r="H144" i="49"/>
  <c r="AT111" i="47"/>
  <c r="AP111" i="47" s="1"/>
  <c r="AQ112" i="47"/>
  <c r="AN111" i="47"/>
  <c r="AD14" i="21"/>
  <c r="AF13" i="21"/>
  <c r="AE13" i="21" s="1"/>
  <c r="AO111" i="47" l="1"/>
  <c r="C146" i="49"/>
  <c r="B145" i="49"/>
  <c r="H145" i="49"/>
  <c r="I144" i="49"/>
  <c r="D144" i="49"/>
  <c r="E144" i="49" s="1"/>
  <c r="AQ113" i="47"/>
  <c r="AT112" i="47"/>
  <c r="AO112" i="47" s="1"/>
  <c r="AN112" i="47"/>
  <c r="AD15" i="21"/>
  <c r="AF14" i="21"/>
  <c r="AE14" i="21" s="1"/>
  <c r="AP112" i="47" l="1"/>
  <c r="D145" i="49"/>
  <c r="E145" i="49" s="1"/>
  <c r="I145" i="49"/>
  <c r="H146" i="49"/>
  <c r="C147" i="49"/>
  <c r="B146" i="49"/>
  <c r="AT113" i="47"/>
  <c r="AO113" i="47" s="1"/>
  <c r="AQ114" i="47"/>
  <c r="AN113" i="47"/>
  <c r="AD16" i="21"/>
  <c r="AF15" i="21"/>
  <c r="AE15" i="21" s="1"/>
  <c r="AP113" i="47" l="1"/>
  <c r="C148" i="49"/>
  <c r="H147" i="49"/>
  <c r="B147" i="49"/>
  <c r="D146" i="49"/>
  <c r="E146" i="49" s="1"/>
  <c r="I146" i="49"/>
  <c r="AT114" i="47"/>
  <c r="AP114" i="47" s="1"/>
  <c r="AQ115" i="47"/>
  <c r="AN114" i="47"/>
  <c r="AD17" i="21"/>
  <c r="AF16" i="21"/>
  <c r="AE16" i="21" s="1"/>
  <c r="AO114" i="47" l="1"/>
  <c r="I147" i="49"/>
  <c r="D147" i="49"/>
  <c r="E147" i="49" s="1"/>
  <c r="C149" i="49"/>
  <c r="H148" i="49"/>
  <c r="B148" i="49"/>
  <c r="AT115" i="47"/>
  <c r="AO115" i="47" s="1"/>
  <c r="AN115" i="47"/>
  <c r="AQ116" i="47"/>
  <c r="AD18" i="21"/>
  <c r="AF17" i="21"/>
  <c r="AE17" i="21" s="1"/>
  <c r="AP115" i="47" l="1"/>
  <c r="I148" i="49"/>
  <c r="D148" i="49"/>
  <c r="E148" i="49" s="1"/>
  <c r="C150" i="49"/>
  <c r="H149" i="49"/>
  <c r="B149" i="49"/>
  <c r="AT116" i="47"/>
  <c r="AO116" i="47" s="1"/>
  <c r="AN116" i="47"/>
  <c r="AQ117" i="47"/>
  <c r="AF18" i="21"/>
  <c r="AE18" i="21" s="1"/>
  <c r="AD19" i="21"/>
  <c r="AP116" i="47" l="1"/>
  <c r="C151" i="49"/>
  <c r="H150" i="49"/>
  <c r="B150" i="49"/>
  <c r="D149" i="49"/>
  <c r="E149" i="49" s="1"/>
  <c r="I149" i="49"/>
  <c r="AT117" i="47"/>
  <c r="AO117" i="47" s="1"/>
  <c r="AQ118" i="47"/>
  <c r="AN117" i="47"/>
  <c r="AF19" i="21"/>
  <c r="AE19" i="21" s="1"/>
  <c r="AD20" i="21"/>
  <c r="D150" i="49" l="1"/>
  <c r="E150" i="49" s="1"/>
  <c r="I150" i="49"/>
  <c r="C152" i="49"/>
  <c r="H151" i="49"/>
  <c r="B151" i="49"/>
  <c r="AP117" i="47"/>
  <c r="AT118" i="47"/>
  <c r="AO118" i="47" s="1"/>
  <c r="AQ119" i="47"/>
  <c r="AN118" i="47"/>
  <c r="AF20" i="21"/>
  <c r="AE20" i="21" s="1"/>
  <c r="AD21" i="21"/>
  <c r="AP118" i="47" l="1"/>
  <c r="H152" i="49"/>
  <c r="C153" i="49"/>
  <c r="B152" i="49"/>
  <c r="D151" i="49"/>
  <c r="E151" i="49" s="1"/>
  <c r="I151" i="49"/>
  <c r="AT119" i="47"/>
  <c r="AO119" i="47" s="1"/>
  <c r="AQ120" i="47"/>
  <c r="AN119" i="47"/>
  <c r="AF21" i="21"/>
  <c r="AE21" i="21" s="1"/>
  <c r="AD22" i="21"/>
  <c r="AP119" i="47" l="1"/>
  <c r="B153" i="49"/>
  <c r="C154" i="49"/>
  <c r="H153" i="49"/>
  <c r="D152" i="49"/>
  <c r="E152" i="49" s="1"/>
  <c r="I152" i="49"/>
  <c r="AQ121" i="47"/>
  <c r="AT120" i="47"/>
  <c r="AO120" i="47" s="1"/>
  <c r="AN120" i="47"/>
  <c r="AF22" i="21"/>
  <c r="AE22" i="21" s="1"/>
  <c r="AD23" i="21"/>
  <c r="D153" i="49" l="1"/>
  <c r="E153" i="49" s="1"/>
  <c r="I153" i="49"/>
  <c r="B154" i="49"/>
  <c r="C155" i="49"/>
  <c r="H154" i="49"/>
  <c r="AP120" i="47"/>
  <c r="AT121" i="47"/>
  <c r="AP121" i="47" s="1"/>
  <c r="AQ122" i="47"/>
  <c r="AN121" i="47"/>
  <c r="AF23" i="21"/>
  <c r="AE23" i="21" s="1"/>
  <c r="AD24" i="21"/>
  <c r="AO121" i="47" l="1"/>
  <c r="D154" i="49"/>
  <c r="E154" i="49" s="1"/>
  <c r="I154" i="49"/>
  <c r="H155" i="49"/>
  <c r="B155" i="49"/>
  <c r="C156" i="49"/>
  <c r="AN122" i="47"/>
  <c r="AT122" i="47"/>
  <c r="AO122" i="47" s="1"/>
  <c r="AQ123" i="47"/>
  <c r="AF24" i="21"/>
  <c r="AE24" i="21" s="1"/>
  <c r="AD25" i="21"/>
  <c r="AD26" i="21" s="1"/>
  <c r="AD27" i="21" l="1"/>
  <c r="AF26" i="21"/>
  <c r="AE26" i="21" s="1"/>
  <c r="AP122" i="47"/>
  <c r="C157" i="49"/>
  <c r="B156" i="49"/>
  <c r="H156" i="49"/>
  <c r="I155" i="49"/>
  <c r="D155" i="49"/>
  <c r="E155" i="49" s="1"/>
  <c r="AT123" i="47"/>
  <c r="AP123" i="47" s="1"/>
  <c r="AQ124" i="47"/>
  <c r="AN123" i="47"/>
  <c r="AF25" i="21"/>
  <c r="AE25" i="21" s="1"/>
  <c r="AD28" i="21" l="1"/>
  <c r="AF27" i="21"/>
  <c r="AE27" i="21" s="1"/>
  <c r="AO123" i="47"/>
  <c r="D156" i="49"/>
  <c r="E156" i="49" s="1"/>
  <c r="I156" i="49"/>
  <c r="B157" i="49"/>
  <c r="C158" i="49"/>
  <c r="H157" i="49"/>
  <c r="AT124" i="47"/>
  <c r="AO124" i="47" s="1"/>
  <c r="AQ125" i="47"/>
  <c r="AN124" i="47"/>
  <c r="AD29" i="21" l="1"/>
  <c r="AF28" i="21"/>
  <c r="AE28" i="21" s="1"/>
  <c r="AP124" i="47"/>
  <c r="B158" i="49"/>
  <c r="C159" i="49"/>
  <c r="H158" i="49"/>
  <c r="I157" i="49"/>
  <c r="D157" i="49"/>
  <c r="E157" i="49" s="1"/>
  <c r="AT125" i="47"/>
  <c r="AO125" i="47" s="1"/>
  <c r="AQ126" i="47"/>
  <c r="AN125" i="47"/>
  <c r="AD30" i="21" l="1"/>
  <c r="AF29" i="21"/>
  <c r="AE29" i="21" s="1"/>
  <c r="AP125" i="47"/>
  <c r="H159" i="49"/>
  <c r="B159" i="49"/>
  <c r="C160" i="49"/>
  <c r="D158" i="49"/>
  <c r="E158" i="49" s="1"/>
  <c r="I158" i="49"/>
  <c r="AT126" i="47"/>
  <c r="AO126" i="47" s="1"/>
  <c r="AQ127" i="47"/>
  <c r="AN126" i="47"/>
  <c r="AD31" i="21" l="1"/>
  <c r="AF30" i="21"/>
  <c r="AE30" i="21" s="1"/>
  <c r="AP126" i="47"/>
  <c r="I159" i="49"/>
  <c r="D159" i="49"/>
  <c r="E159" i="49" s="1"/>
  <c r="C161" i="49"/>
  <c r="H160" i="49"/>
  <c r="B160" i="49"/>
  <c r="AT127" i="47"/>
  <c r="AO127" i="47" s="1"/>
  <c r="AQ128" i="47"/>
  <c r="AN127" i="47"/>
  <c r="AD32" i="21" l="1"/>
  <c r="AF31" i="21"/>
  <c r="AE31" i="21" s="1"/>
  <c r="AP127" i="47"/>
  <c r="I160" i="49"/>
  <c r="D160" i="49"/>
  <c r="E160" i="49" s="1"/>
  <c r="C162" i="49"/>
  <c r="H161" i="49"/>
  <c r="B161" i="49"/>
  <c r="AQ129" i="47"/>
  <c r="AT128" i="47"/>
  <c r="AO128" i="47" s="1"/>
  <c r="AN128" i="47"/>
  <c r="AD33" i="21" l="1"/>
  <c r="AF32" i="21"/>
  <c r="AE32" i="21" s="1"/>
  <c r="AP128" i="47"/>
  <c r="D161" i="49"/>
  <c r="E161" i="49" s="1"/>
  <c r="I161" i="49"/>
  <c r="B162" i="49"/>
  <c r="C163" i="49"/>
  <c r="H162" i="49"/>
  <c r="AT129" i="47"/>
  <c r="AP129" i="47" s="1"/>
  <c r="AQ130" i="47"/>
  <c r="AN129" i="47"/>
  <c r="AD34" i="21" l="1"/>
  <c r="AF33" i="21"/>
  <c r="AE33" i="21" s="1"/>
  <c r="AO129" i="47"/>
  <c r="C164" i="49"/>
  <c r="H163" i="49"/>
  <c r="B163" i="49"/>
  <c r="I162" i="49"/>
  <c r="D162" i="49"/>
  <c r="E162" i="49" s="1"/>
  <c r="AN130" i="47"/>
  <c r="AT130" i="47"/>
  <c r="AO130" i="47" s="1"/>
  <c r="AQ131" i="47"/>
  <c r="AD35" i="21" l="1"/>
  <c r="AF34" i="21"/>
  <c r="AE34" i="21" s="1"/>
  <c r="AP130" i="47"/>
  <c r="D163" i="49"/>
  <c r="E163" i="49" s="1"/>
  <c r="I163" i="49"/>
  <c r="C165" i="49"/>
  <c r="H164" i="49"/>
  <c r="B164" i="49"/>
  <c r="AT131" i="47"/>
  <c r="AP131" i="47" s="1"/>
  <c r="AQ132" i="47"/>
  <c r="AN131" i="47"/>
  <c r="AD36" i="21" l="1"/>
  <c r="AF35" i="21"/>
  <c r="AE35" i="21" s="1"/>
  <c r="AO131" i="47"/>
  <c r="I164" i="49"/>
  <c r="D164" i="49"/>
  <c r="E164" i="49" s="1"/>
  <c r="C166" i="49"/>
  <c r="H165" i="49"/>
  <c r="B165" i="49"/>
  <c r="AT132" i="47"/>
  <c r="AO132" i="47" s="1"/>
  <c r="AQ133" i="47"/>
  <c r="AN132" i="47"/>
  <c r="AD37" i="21" l="1"/>
  <c r="AF36" i="21"/>
  <c r="AE36" i="21" s="1"/>
  <c r="AP132" i="47"/>
  <c r="C167" i="49"/>
  <c r="B166" i="49"/>
  <c r="H166" i="49"/>
  <c r="D165" i="49"/>
  <c r="E165" i="49" s="1"/>
  <c r="I165" i="49"/>
  <c r="AT133" i="47"/>
  <c r="AP133" i="47" s="1"/>
  <c r="AQ134" i="47"/>
  <c r="AN133" i="47"/>
  <c r="AD38" i="21" l="1"/>
  <c r="AF37" i="21"/>
  <c r="AE37" i="21" s="1"/>
  <c r="AO133" i="47"/>
  <c r="I166" i="49"/>
  <c r="D166" i="49"/>
  <c r="E166" i="49" s="1"/>
  <c r="C168" i="49"/>
  <c r="H167" i="49"/>
  <c r="B167" i="49"/>
  <c r="AT134" i="47"/>
  <c r="AO134" i="47" s="1"/>
  <c r="AQ135" i="47"/>
  <c r="AN134" i="47"/>
  <c r="AI3" i="27"/>
  <c r="W3" i="27"/>
  <c r="Z3" i="27" s="1"/>
  <c r="AD39" i="21" l="1"/>
  <c r="AF38" i="21"/>
  <c r="AE38" i="21" s="1"/>
  <c r="AP134" i="47"/>
  <c r="C169" i="49"/>
  <c r="B168" i="49"/>
  <c r="H168" i="49"/>
  <c r="D167" i="49"/>
  <c r="E167" i="49" s="1"/>
  <c r="I167" i="49"/>
  <c r="AT135" i="47"/>
  <c r="AO135" i="47" s="1"/>
  <c r="AQ136" i="47"/>
  <c r="AN135" i="47"/>
  <c r="AL3" i="27"/>
  <c r="AF3" i="27"/>
  <c r="AF4" i="27" s="1"/>
  <c r="AF5" i="27" s="1"/>
  <c r="AF6" i="27" s="1"/>
  <c r="AF7" i="27" s="1"/>
  <c r="AF8" i="27" s="1"/>
  <c r="AF9" i="27" s="1"/>
  <c r="AF10" i="27" s="1"/>
  <c r="AF11" i="27" s="1"/>
  <c r="AF12" i="27" s="1"/>
  <c r="AF13" i="27" s="1"/>
  <c r="AF14" i="27" s="1"/>
  <c r="AF15" i="27" s="1"/>
  <c r="AF16" i="27" s="1"/>
  <c r="AF17" i="27" s="1"/>
  <c r="AF18" i="27" s="1"/>
  <c r="AF19" i="27" s="1"/>
  <c r="AF20" i="27" s="1"/>
  <c r="AF21" i="27" s="1"/>
  <c r="AF22" i="27" s="1"/>
  <c r="AF23" i="27" s="1"/>
  <c r="AF24" i="27" s="1"/>
  <c r="AF25" i="27" s="1"/>
  <c r="AF26" i="27" s="1"/>
  <c r="AF27" i="27" s="1"/>
  <c r="AF28" i="27" s="1"/>
  <c r="AF29" i="27" s="1"/>
  <c r="AF30" i="27" s="1"/>
  <c r="AF31" i="27" s="1"/>
  <c r="AF32" i="27" s="1"/>
  <c r="AF33" i="27" s="1"/>
  <c r="AF34" i="27" s="1"/>
  <c r="AF35" i="27" s="1"/>
  <c r="AF36" i="27" s="1"/>
  <c r="AF37" i="27" s="1"/>
  <c r="AF38" i="27" s="1"/>
  <c r="AI4" i="27"/>
  <c r="AI5" i="27" s="1"/>
  <c r="AI6" i="27" s="1"/>
  <c r="AI7" i="27" s="1"/>
  <c r="AI8" i="27" s="1"/>
  <c r="AI9" i="27" s="1"/>
  <c r="AI10" i="27" s="1"/>
  <c r="AI11" i="27" s="1"/>
  <c r="AI12" i="27" s="1"/>
  <c r="AI13" i="27" s="1"/>
  <c r="AI14" i="27" s="1"/>
  <c r="AI15" i="27" s="1"/>
  <c r="AI16" i="27" s="1"/>
  <c r="AI17" i="27" s="1"/>
  <c r="AI18" i="27" s="1"/>
  <c r="AI19" i="27" s="1"/>
  <c r="AI20" i="27" s="1"/>
  <c r="AI21" i="27" s="1"/>
  <c r="AI22" i="27" s="1"/>
  <c r="AI23" i="27" s="1"/>
  <c r="AI24" i="27" s="1"/>
  <c r="AI25" i="27" s="1"/>
  <c r="AI26" i="27" s="1"/>
  <c r="AI27" i="27" s="1"/>
  <c r="AI28" i="27" s="1"/>
  <c r="AI29" i="27" s="1"/>
  <c r="AI30" i="27" s="1"/>
  <c r="AI31" i="27" s="1"/>
  <c r="AI32" i="27" s="1"/>
  <c r="AI33" i="27" s="1"/>
  <c r="AI34" i="27" s="1"/>
  <c r="AI35" i="27" s="1"/>
  <c r="AI36" i="27" s="1"/>
  <c r="AI37" i="27" s="1"/>
  <c r="AI38" i="27" s="1"/>
  <c r="W4" i="27"/>
  <c r="AD40" i="21" l="1"/>
  <c r="AF39" i="21"/>
  <c r="AE39" i="21" s="1"/>
  <c r="W5" i="27"/>
  <c r="Z4" i="27"/>
  <c r="T3" i="27"/>
  <c r="T4" i="27" s="1"/>
  <c r="T5" i="27" s="1"/>
  <c r="T6" i="27" s="1"/>
  <c r="T7" i="27" s="1"/>
  <c r="T8" i="27" s="1"/>
  <c r="T9" i="27" s="1"/>
  <c r="T10" i="27" s="1"/>
  <c r="T11" i="27" s="1"/>
  <c r="T12" i="27" s="1"/>
  <c r="T13" i="27" s="1"/>
  <c r="T14" i="27" s="1"/>
  <c r="T15" i="27" s="1"/>
  <c r="T16" i="27" s="1"/>
  <c r="T17" i="27" s="1"/>
  <c r="T18" i="27" s="1"/>
  <c r="T19" i="27" s="1"/>
  <c r="T20" i="27" s="1"/>
  <c r="T21" i="27" s="1"/>
  <c r="T22" i="27" s="1"/>
  <c r="T23" i="27" s="1"/>
  <c r="T24" i="27" s="1"/>
  <c r="T25" i="27" s="1"/>
  <c r="T26" i="27" s="1"/>
  <c r="T27" i="27" s="1"/>
  <c r="T28" i="27" s="1"/>
  <c r="T29" i="27" s="1"/>
  <c r="T30" i="27" s="1"/>
  <c r="T31" i="27" s="1"/>
  <c r="T32" i="27" s="1"/>
  <c r="T33" i="27" s="1"/>
  <c r="T34" i="27" s="1"/>
  <c r="T35" i="27" s="1"/>
  <c r="T36" i="27" s="1"/>
  <c r="T37" i="27" s="1"/>
  <c r="T38" i="27" s="1"/>
  <c r="D168" i="49"/>
  <c r="E168" i="49" s="1"/>
  <c r="I168" i="49"/>
  <c r="H169" i="49"/>
  <c r="C170" i="49"/>
  <c r="B169" i="49"/>
  <c r="AT136" i="47"/>
  <c r="AO136" i="47" s="1"/>
  <c r="AN136" i="47"/>
  <c r="AQ137" i="47"/>
  <c r="AP135" i="47"/>
  <c r="U3" i="27"/>
  <c r="U4" i="27" s="1"/>
  <c r="U5" i="27" s="1"/>
  <c r="U6" i="27" s="1"/>
  <c r="U7" i="27" s="1"/>
  <c r="U8" i="27" s="1"/>
  <c r="U9" i="27" s="1"/>
  <c r="U10" i="27" s="1"/>
  <c r="U11" i="27" s="1"/>
  <c r="U12" i="27" s="1"/>
  <c r="U13" i="27" s="1"/>
  <c r="U14" i="27" s="1"/>
  <c r="U15" i="27" s="1"/>
  <c r="U16" i="27" s="1"/>
  <c r="U17" i="27" s="1"/>
  <c r="U18" i="27" s="1"/>
  <c r="U19" i="27" s="1"/>
  <c r="U20" i="27" s="1"/>
  <c r="U21" i="27" s="1"/>
  <c r="U22" i="27" s="1"/>
  <c r="U23" i="27" s="1"/>
  <c r="U24" i="27" s="1"/>
  <c r="U25" i="27" s="1"/>
  <c r="U26" i="27" s="1"/>
  <c r="U27" i="27" s="1"/>
  <c r="U28" i="27" s="1"/>
  <c r="U29" i="27" s="1"/>
  <c r="U30" i="27" s="1"/>
  <c r="U31" i="27" s="1"/>
  <c r="U32" i="27" s="1"/>
  <c r="U33" i="27" s="1"/>
  <c r="U34" i="27" s="1"/>
  <c r="U35" i="27" s="1"/>
  <c r="U36" i="27" s="1"/>
  <c r="U37" i="27" s="1"/>
  <c r="U38" i="27" s="1"/>
  <c r="Y3" i="27"/>
  <c r="X3" i="27"/>
  <c r="X4" i="27" s="1"/>
  <c r="X5" i="27" s="1"/>
  <c r="X6" i="27" s="1"/>
  <c r="X7" i="27" s="1"/>
  <c r="X8" i="27" s="1"/>
  <c r="X9" i="27" s="1"/>
  <c r="X10" i="27" s="1"/>
  <c r="X11" i="27" s="1"/>
  <c r="X12" i="27" s="1"/>
  <c r="X13" i="27" s="1"/>
  <c r="X14" i="27" s="1"/>
  <c r="X15" i="27" s="1"/>
  <c r="X16" i="27" s="1"/>
  <c r="X17" i="27" s="1"/>
  <c r="X18" i="27" s="1"/>
  <c r="X19" i="27" s="1"/>
  <c r="X20" i="27" s="1"/>
  <c r="X21" i="27" s="1"/>
  <c r="X22" i="27" s="1"/>
  <c r="X23" i="27" s="1"/>
  <c r="X24" i="27" s="1"/>
  <c r="X25" i="27" s="1"/>
  <c r="X26" i="27" s="1"/>
  <c r="X27" i="27" s="1"/>
  <c r="X28" i="27" s="1"/>
  <c r="X29" i="27" s="1"/>
  <c r="X30" i="27" s="1"/>
  <c r="X31" i="27" s="1"/>
  <c r="X32" i="27" s="1"/>
  <c r="X33" i="27" s="1"/>
  <c r="X34" i="27" s="1"/>
  <c r="X35" i="27" s="1"/>
  <c r="X36" i="27" s="1"/>
  <c r="X37" i="27" s="1"/>
  <c r="X38" i="27" s="1"/>
  <c r="AJ3" i="27"/>
  <c r="AK3" i="27"/>
  <c r="AL4" i="27"/>
  <c r="AM3" i="27"/>
  <c r="AD41" i="21" l="1"/>
  <c r="AF40" i="21"/>
  <c r="AE40" i="21" s="1"/>
  <c r="V3" i="27"/>
  <c r="AA3" i="27"/>
  <c r="W6" i="27"/>
  <c r="Z5" i="27"/>
  <c r="AP136" i="47"/>
  <c r="D169" i="49"/>
  <c r="E169" i="49" s="1"/>
  <c r="I169" i="49"/>
  <c r="C171" i="49"/>
  <c r="H170" i="49"/>
  <c r="B170" i="49"/>
  <c r="AT137" i="47"/>
  <c r="AO137" i="47" s="1"/>
  <c r="AN137" i="47"/>
  <c r="AQ138" i="47"/>
  <c r="AK4" i="27"/>
  <c r="AJ4" i="27"/>
  <c r="AJ5" i="27" s="1"/>
  <c r="AJ6" i="27" s="1"/>
  <c r="AJ7" i="27" s="1"/>
  <c r="AJ8" i="27" s="1"/>
  <c r="AJ9" i="27" s="1"/>
  <c r="AJ10" i="27" s="1"/>
  <c r="AJ11" i="27" s="1"/>
  <c r="AJ12" i="27" s="1"/>
  <c r="AJ13" i="27" s="1"/>
  <c r="AJ14" i="27" s="1"/>
  <c r="AJ15" i="27" s="1"/>
  <c r="AJ16" i="27" s="1"/>
  <c r="AJ17" i="27" s="1"/>
  <c r="AJ18" i="27" s="1"/>
  <c r="AJ19" i="27" s="1"/>
  <c r="AJ20" i="27" s="1"/>
  <c r="AJ21" i="27" s="1"/>
  <c r="AJ22" i="27" s="1"/>
  <c r="AJ23" i="27" s="1"/>
  <c r="AJ24" i="27" s="1"/>
  <c r="AJ25" i="27" s="1"/>
  <c r="AJ26" i="27" s="1"/>
  <c r="AJ27" i="27" s="1"/>
  <c r="AJ28" i="27" s="1"/>
  <c r="AJ29" i="27" s="1"/>
  <c r="AJ30" i="27" s="1"/>
  <c r="AJ31" i="27" s="1"/>
  <c r="AJ32" i="27" s="1"/>
  <c r="AJ33" i="27" s="1"/>
  <c r="AJ34" i="27" s="1"/>
  <c r="AJ35" i="27" s="1"/>
  <c r="AJ36" i="27" s="1"/>
  <c r="AJ37" i="27" s="1"/>
  <c r="AJ38" i="27" s="1"/>
  <c r="AH3" i="27"/>
  <c r="Y4" i="27"/>
  <c r="AA4" i="27"/>
  <c r="AL5" i="27"/>
  <c r="AM4" i="27"/>
  <c r="V4" i="27"/>
  <c r="AD42" i="21" l="1"/>
  <c r="AF41" i="21"/>
  <c r="AE41" i="21" s="1"/>
  <c r="W7" i="27"/>
  <c r="Z6" i="27"/>
  <c r="AP137" i="47"/>
  <c r="I170" i="49"/>
  <c r="D170" i="49"/>
  <c r="E170" i="49" s="1"/>
  <c r="C172" i="49"/>
  <c r="H171" i="49"/>
  <c r="B171" i="49"/>
  <c r="AT138" i="47"/>
  <c r="AO138" i="47" s="1"/>
  <c r="AQ139" i="47"/>
  <c r="AN138" i="47"/>
  <c r="AA5" i="27"/>
  <c r="AG3" i="27"/>
  <c r="AG4" i="27" s="1"/>
  <c r="AG5" i="27" s="1"/>
  <c r="AG6" i="27" s="1"/>
  <c r="AG7" i="27" s="1"/>
  <c r="AG8" i="27" s="1"/>
  <c r="AG9" i="27" s="1"/>
  <c r="AG10" i="27" s="1"/>
  <c r="AG11" i="27" s="1"/>
  <c r="AG12" i="27" s="1"/>
  <c r="AG13" i="27" s="1"/>
  <c r="AG14" i="27" s="1"/>
  <c r="AG15" i="27" s="1"/>
  <c r="AG16" i="27" s="1"/>
  <c r="AG17" i="27" s="1"/>
  <c r="AG18" i="27" s="1"/>
  <c r="AG19" i="27" s="1"/>
  <c r="AG20" i="27" s="1"/>
  <c r="AG21" i="27" s="1"/>
  <c r="AG22" i="27" s="1"/>
  <c r="AG23" i="27" s="1"/>
  <c r="AG24" i="27" s="1"/>
  <c r="AG25" i="27" s="1"/>
  <c r="AG26" i="27" s="1"/>
  <c r="AG27" i="27" s="1"/>
  <c r="AG28" i="27" s="1"/>
  <c r="AG29" i="27" s="1"/>
  <c r="AG30" i="27" s="1"/>
  <c r="AG31" i="27" s="1"/>
  <c r="AG32" i="27" s="1"/>
  <c r="AG33" i="27" s="1"/>
  <c r="AG34" i="27" s="1"/>
  <c r="AG35" i="27" s="1"/>
  <c r="AG36" i="27" s="1"/>
  <c r="AG37" i="27" s="1"/>
  <c r="AG38" i="27" s="1"/>
  <c r="AH4" i="27"/>
  <c r="Y5" i="27"/>
  <c r="V5" i="27"/>
  <c r="AL6" i="27"/>
  <c r="AM5" i="27"/>
  <c r="AK5" i="27"/>
  <c r="AD43" i="21" l="1"/>
  <c r="AF42" i="21"/>
  <c r="AE42" i="21" s="1"/>
  <c r="W8" i="27"/>
  <c r="Z7" i="27"/>
  <c r="D171" i="49"/>
  <c r="E171" i="49" s="1"/>
  <c r="I171" i="49"/>
  <c r="B172" i="49"/>
  <c r="C173" i="49"/>
  <c r="H172" i="49"/>
  <c r="AQ140" i="47"/>
  <c r="AT139" i="47"/>
  <c r="AP139" i="47" s="1"/>
  <c r="AN139" i="47"/>
  <c r="AP138" i="47"/>
  <c r="Y6" i="27"/>
  <c r="AB4" i="27"/>
  <c r="V6" i="27"/>
  <c r="AK6" i="27"/>
  <c r="AN4" i="27"/>
  <c r="AH5" i="27"/>
  <c r="AL7" i="27"/>
  <c r="AM6" i="27"/>
  <c r="AA6" i="27"/>
  <c r="AD44" i="21" l="1"/>
  <c r="AF43" i="21"/>
  <c r="AE43" i="21" s="1"/>
  <c r="W9" i="27"/>
  <c r="Z8" i="27"/>
  <c r="AO139" i="47"/>
  <c r="C174" i="49"/>
  <c r="H173" i="49"/>
  <c r="B173" i="49"/>
  <c r="D172" i="49"/>
  <c r="E172" i="49" s="1"/>
  <c r="I172" i="49"/>
  <c r="AT140" i="47"/>
  <c r="AP140" i="47" s="1"/>
  <c r="AQ141" i="47"/>
  <c r="AN140" i="47"/>
  <c r="AK7" i="27"/>
  <c r="AN5" i="27"/>
  <c r="AA7" i="27"/>
  <c r="V7" i="27"/>
  <c r="AH6" i="27"/>
  <c r="Y7" i="27"/>
  <c r="AB5" i="27"/>
  <c r="AL8" i="27"/>
  <c r="AM7" i="27"/>
  <c r="AD45" i="21" l="1"/>
  <c r="AF44" i="21"/>
  <c r="AE44" i="21" s="1"/>
  <c r="W10" i="27"/>
  <c r="Z9" i="27"/>
  <c r="AO140" i="47"/>
  <c r="D173" i="49"/>
  <c r="E173" i="49" s="1"/>
  <c r="I173" i="49"/>
  <c r="B174" i="49"/>
  <c r="C175" i="49"/>
  <c r="H174" i="49"/>
  <c r="AQ142" i="47"/>
  <c r="AT141" i="47"/>
  <c r="AP141" i="47"/>
  <c r="AO141" i="47"/>
  <c r="AN141" i="47"/>
  <c r="V8" i="27"/>
  <c r="AC5" i="27"/>
  <c r="Y8" i="27"/>
  <c r="AL9" i="27"/>
  <c r="AM8" i="27"/>
  <c r="AH7" i="27"/>
  <c r="AA8" i="27"/>
  <c r="AB6" i="27"/>
  <c r="AK8" i="27"/>
  <c r="AN6" i="27"/>
  <c r="AD46" i="21" l="1"/>
  <c r="AF45" i="21"/>
  <c r="AE45" i="21" s="1"/>
  <c r="W11" i="27"/>
  <c r="Z10" i="27"/>
  <c r="B175" i="49"/>
  <c r="C176" i="49"/>
  <c r="H175" i="49"/>
  <c r="D174" i="49"/>
  <c r="E174" i="49" s="1"/>
  <c r="I174" i="49"/>
  <c r="AT142" i="47"/>
  <c r="AQ143" i="47"/>
  <c r="AP142" i="47"/>
  <c r="AN142" i="47"/>
  <c r="AO142" i="47"/>
  <c r="AL10" i="27"/>
  <c r="AM9" i="27"/>
  <c r="Y9" i="27"/>
  <c r="AB7" i="27"/>
  <c r="AK9" i="27"/>
  <c r="AN7" i="27"/>
  <c r="AA9" i="27"/>
  <c r="AH8" i="27"/>
  <c r="AO5" i="27"/>
  <c r="V9" i="27"/>
  <c r="AC6" i="27"/>
  <c r="AD47" i="21" l="1"/>
  <c r="AF46" i="21"/>
  <c r="AE46" i="21" s="1"/>
  <c r="W12" i="27"/>
  <c r="Z11" i="27"/>
  <c r="H176" i="49"/>
  <c r="B176" i="49"/>
  <c r="C177" i="49"/>
  <c r="I175" i="49"/>
  <c r="D175" i="49"/>
  <c r="E175" i="49" s="1"/>
  <c r="AT143" i="47"/>
  <c r="AQ144" i="47"/>
  <c r="AN143" i="47"/>
  <c r="AO143" i="47"/>
  <c r="AP143" i="47"/>
  <c r="V10" i="27"/>
  <c r="AC7" i="27"/>
  <c r="AK10" i="27"/>
  <c r="AN8" i="27"/>
  <c r="AH9" i="27"/>
  <c r="AO6" i="27"/>
  <c r="Y10" i="27"/>
  <c r="AB8" i="27"/>
  <c r="AC8" i="27"/>
  <c r="AA10" i="27"/>
  <c r="AL11" i="27"/>
  <c r="AM10" i="27"/>
  <c r="AD48" i="21" l="1"/>
  <c r="AF47" i="21"/>
  <c r="AE47" i="21" s="1"/>
  <c r="W13" i="27"/>
  <c r="Z12" i="27"/>
  <c r="C178" i="49"/>
  <c r="H177" i="49"/>
  <c r="B177" i="49"/>
  <c r="D176" i="49"/>
  <c r="E176" i="49" s="1"/>
  <c r="I176" i="49"/>
  <c r="AT144" i="47"/>
  <c r="AO144" i="47" s="1"/>
  <c r="AQ145" i="47"/>
  <c r="AN144" i="47"/>
  <c r="AK11" i="27"/>
  <c r="AN9" i="27"/>
  <c r="Y11" i="27"/>
  <c r="AB9" i="27"/>
  <c r="AA11" i="27"/>
  <c r="AH10" i="27"/>
  <c r="AO8" i="27" s="1"/>
  <c r="AO7" i="27"/>
  <c r="AL12" i="27"/>
  <c r="AM11" i="27"/>
  <c r="V11" i="27"/>
  <c r="AD49" i="21" l="1"/>
  <c r="AF48" i="21"/>
  <c r="AE48" i="21" s="1"/>
  <c r="W14" i="27"/>
  <c r="Z13" i="27"/>
  <c r="H178" i="49"/>
  <c r="C179" i="49"/>
  <c r="B178" i="49"/>
  <c r="D177" i="49"/>
  <c r="E177" i="49" s="1"/>
  <c r="I177" i="49"/>
  <c r="AT145" i="47"/>
  <c r="AQ146" i="47"/>
  <c r="AN145" i="47"/>
  <c r="AO145" i="47"/>
  <c r="AP145" i="47"/>
  <c r="AP144" i="47"/>
  <c r="AA12" i="27"/>
  <c r="Y12" i="27"/>
  <c r="V12" i="27"/>
  <c r="AC9" i="27"/>
  <c r="AH11" i="27"/>
  <c r="AK12" i="27"/>
  <c r="AN10" i="27"/>
  <c r="AL13" i="27"/>
  <c r="AM12" i="27"/>
  <c r="AB10" i="27"/>
  <c r="AD50" i="21" l="1"/>
  <c r="AF49" i="21"/>
  <c r="AE49" i="21" s="1"/>
  <c r="W15" i="27"/>
  <c r="Z14" i="27"/>
  <c r="I178" i="49"/>
  <c r="D178" i="49"/>
  <c r="E178" i="49" s="1"/>
  <c r="C180" i="49"/>
  <c r="B179" i="49"/>
  <c r="H179" i="49"/>
  <c r="AT146" i="47"/>
  <c r="AQ147" i="47"/>
  <c r="AN146" i="47"/>
  <c r="AP146" i="47"/>
  <c r="AO146" i="47"/>
  <c r="V13" i="27"/>
  <c r="AC10" i="27"/>
  <c r="AL14" i="27"/>
  <c r="AM13" i="27"/>
  <c r="AK13" i="27"/>
  <c r="AN12" i="27" s="1"/>
  <c r="AN11" i="27"/>
  <c r="Y13" i="27"/>
  <c r="AB11" i="27"/>
  <c r="AH12" i="27"/>
  <c r="AO9" i="27"/>
  <c r="AA13" i="27"/>
  <c r="AD51" i="21" l="1"/>
  <c r="AF50" i="21"/>
  <c r="AE50" i="21" s="1"/>
  <c r="W16" i="27"/>
  <c r="Z15" i="27"/>
  <c r="I179" i="49"/>
  <c r="D179" i="49"/>
  <c r="E179" i="49" s="1"/>
  <c r="B180" i="49"/>
  <c r="H180" i="49"/>
  <c r="C181" i="49"/>
  <c r="AT147" i="47"/>
  <c r="AQ148" i="47"/>
  <c r="AN147" i="47"/>
  <c r="AO147" i="47"/>
  <c r="AP147" i="47"/>
  <c r="AL15" i="27"/>
  <c r="AM14" i="27"/>
  <c r="AA14" i="27"/>
  <c r="Y14" i="27"/>
  <c r="AB12" i="27"/>
  <c r="AH13" i="27"/>
  <c r="AO10" i="27"/>
  <c r="AK14" i="27"/>
  <c r="V14" i="27"/>
  <c r="AC11" i="27"/>
  <c r="AD52" i="21" l="1"/>
  <c r="AF51" i="21"/>
  <c r="AE51" i="21" s="1"/>
  <c r="W17" i="27"/>
  <c r="Z16" i="27"/>
  <c r="D180" i="49"/>
  <c r="E180" i="49" s="1"/>
  <c r="I180" i="49"/>
  <c r="H181" i="49"/>
  <c r="C182" i="49"/>
  <c r="B181" i="49"/>
  <c r="AT148" i="47"/>
  <c r="AQ149" i="47"/>
  <c r="AN148" i="47"/>
  <c r="AO148" i="47"/>
  <c r="AP148" i="47"/>
  <c r="V15" i="27"/>
  <c r="AC12" i="27"/>
  <c r="Y15" i="27"/>
  <c r="AB13" i="27"/>
  <c r="AK15" i="27"/>
  <c r="AN13" i="27"/>
  <c r="AA15" i="27"/>
  <c r="AH14" i="27"/>
  <c r="AO11" i="27"/>
  <c r="AL16" i="27"/>
  <c r="AM15" i="27"/>
  <c r="AD53" i="21" l="1"/>
  <c r="AF52" i="21"/>
  <c r="AE52" i="21" s="1"/>
  <c r="W18" i="27"/>
  <c r="Z17" i="27"/>
  <c r="D181" i="49"/>
  <c r="E181" i="49" s="1"/>
  <c r="I181" i="49"/>
  <c r="B182" i="49"/>
  <c r="H182" i="49"/>
  <c r="C183" i="49"/>
  <c r="C184" i="49" s="1"/>
  <c r="AT149" i="47"/>
  <c r="AP149" i="47" s="1"/>
  <c r="AQ150" i="47"/>
  <c r="AN149" i="47"/>
  <c r="AO149" i="47"/>
  <c r="Y16" i="27"/>
  <c r="AH15" i="27"/>
  <c r="AA16" i="27"/>
  <c r="AL17" i="27"/>
  <c r="AM16" i="27"/>
  <c r="AK16" i="27"/>
  <c r="AN14" i="27"/>
  <c r="V16" i="27"/>
  <c r="AC13" i="27"/>
  <c r="AB14" i="27"/>
  <c r="AO12" i="27"/>
  <c r="C185" i="49" l="1"/>
  <c r="B184" i="49"/>
  <c r="H184" i="49"/>
  <c r="AD54" i="21"/>
  <c r="AF53" i="21"/>
  <c r="AE53" i="21" s="1"/>
  <c r="W19" i="27"/>
  <c r="Z18" i="27"/>
  <c r="H183" i="49"/>
  <c r="B183" i="49"/>
  <c r="D182" i="49"/>
  <c r="E182" i="49" s="1"/>
  <c r="I182" i="49"/>
  <c r="AT150" i="47"/>
  <c r="AQ151" i="47"/>
  <c r="AO150" i="47"/>
  <c r="AP150" i="47"/>
  <c r="AN150" i="47"/>
  <c r="V17" i="27"/>
  <c r="AC14" i="27"/>
  <c r="AA17" i="27"/>
  <c r="AL18" i="27"/>
  <c r="AM17" i="27"/>
  <c r="AK17" i="27"/>
  <c r="AN15" i="27"/>
  <c r="AH16" i="27"/>
  <c r="AO13" i="27"/>
  <c r="Y17" i="27"/>
  <c r="AB15" i="27"/>
  <c r="D184" i="49" l="1"/>
  <c r="E184" i="49" s="1"/>
  <c r="I184" i="49"/>
  <c r="H185" i="49"/>
  <c r="B185" i="49"/>
  <c r="C186" i="49"/>
  <c r="AD55" i="21"/>
  <c r="AF54" i="21"/>
  <c r="AE54" i="21" s="1"/>
  <c r="W20" i="27"/>
  <c r="Z19" i="27"/>
  <c r="D183" i="49"/>
  <c r="E183" i="49" s="1"/>
  <c r="I183" i="49"/>
  <c r="AQ152" i="47"/>
  <c r="AT151" i="47"/>
  <c r="AP151" i="47" s="1"/>
  <c r="AN151" i="47"/>
  <c r="AO151" i="47"/>
  <c r="AA18" i="27"/>
  <c r="Y18" i="27"/>
  <c r="AB17" i="27" s="1"/>
  <c r="AB16" i="27"/>
  <c r="AM18" i="27"/>
  <c r="AL19" i="27"/>
  <c r="AH17" i="27"/>
  <c r="AO14" i="27"/>
  <c r="AK18" i="27"/>
  <c r="AN16" i="27"/>
  <c r="V18" i="27"/>
  <c r="AC15" i="27"/>
  <c r="H186" i="49" l="1"/>
  <c r="C187" i="49"/>
  <c r="B186" i="49"/>
  <c r="D185" i="49"/>
  <c r="E185" i="49" s="1"/>
  <c r="I185" i="49"/>
  <c r="AD56" i="21"/>
  <c r="AF55" i="21"/>
  <c r="AE55" i="21" s="1"/>
  <c r="W21" i="27"/>
  <c r="Z20" i="27"/>
  <c r="AQ153" i="47"/>
  <c r="AT152" i="47"/>
  <c r="AO152" i="47" s="1"/>
  <c r="AN152" i="47"/>
  <c r="AH18" i="27"/>
  <c r="AO15" i="27"/>
  <c r="AK19" i="27"/>
  <c r="AN17" i="27"/>
  <c r="Y19" i="27"/>
  <c r="AO16" i="27"/>
  <c r="V19" i="27"/>
  <c r="AC16" i="27"/>
  <c r="AL20" i="27"/>
  <c r="AM19" i="27"/>
  <c r="AA19" i="27"/>
  <c r="C188" i="49" l="1"/>
  <c r="B187" i="49"/>
  <c r="H187" i="49"/>
  <c r="D186" i="49"/>
  <c r="E186" i="49" s="1"/>
  <c r="I186" i="49"/>
  <c r="AD57" i="21"/>
  <c r="AF56" i="21"/>
  <c r="AE56" i="21" s="1"/>
  <c r="W22" i="27"/>
  <c r="Z21" i="27"/>
  <c r="AA21" i="27" s="1"/>
  <c r="AQ154" i="47"/>
  <c r="AT153" i="47"/>
  <c r="AO153" i="47" s="1"/>
  <c r="AN153" i="47"/>
  <c r="AP152" i="47"/>
  <c r="AK20" i="27"/>
  <c r="AN18" i="27"/>
  <c r="AL21" i="27"/>
  <c r="AM20" i="27"/>
  <c r="V20" i="27"/>
  <c r="AH19" i="27"/>
  <c r="Y20" i="27"/>
  <c r="AB18" i="27"/>
  <c r="AA20" i="27"/>
  <c r="AC17" i="27"/>
  <c r="C189" i="49" l="1"/>
  <c r="B188" i="49"/>
  <c r="H188" i="49"/>
  <c r="D187" i="49"/>
  <c r="E187" i="49" s="1"/>
  <c r="I187" i="49"/>
  <c r="AD58" i="21"/>
  <c r="AF57" i="21"/>
  <c r="AE57" i="21" s="1"/>
  <c r="W23" i="27"/>
  <c r="Z22" i="27"/>
  <c r="AA22" i="27" s="1"/>
  <c r="AP153" i="47"/>
  <c r="AQ155" i="47"/>
  <c r="AT154" i="47"/>
  <c r="AO154" i="47" s="1"/>
  <c r="AN154" i="47"/>
  <c r="V21" i="27"/>
  <c r="AC18" i="27"/>
  <c r="Y21" i="27"/>
  <c r="AL22" i="27"/>
  <c r="AM21" i="27"/>
  <c r="AB19" i="27"/>
  <c r="AH20" i="27"/>
  <c r="AO17" i="27"/>
  <c r="AK21" i="27"/>
  <c r="AN19" i="27"/>
  <c r="D188" i="49" l="1"/>
  <c r="E188" i="49" s="1"/>
  <c r="I188" i="49"/>
  <c r="H189" i="49"/>
  <c r="C190" i="49"/>
  <c r="B189" i="49"/>
  <c r="AD59" i="21"/>
  <c r="AF58" i="21"/>
  <c r="AE58" i="21" s="1"/>
  <c r="W24" i="27"/>
  <c r="Z23" i="27"/>
  <c r="AA23" i="27" s="1"/>
  <c r="AP154" i="47"/>
  <c r="AN155" i="47"/>
  <c r="AQ156" i="47"/>
  <c r="AT155" i="47"/>
  <c r="AO155" i="47" s="1"/>
  <c r="AK22" i="27"/>
  <c r="AN20" i="27"/>
  <c r="AH21" i="27"/>
  <c r="AO18" i="27"/>
  <c r="V22" i="27"/>
  <c r="AC19" i="27"/>
  <c r="Y22" i="27"/>
  <c r="AB20" i="27"/>
  <c r="AN21" i="27"/>
  <c r="AM22" i="27"/>
  <c r="AL23" i="27"/>
  <c r="B190" i="49" l="1"/>
  <c r="C191" i="49"/>
  <c r="H190" i="49"/>
  <c r="I189" i="49"/>
  <c r="D189" i="49"/>
  <c r="E189" i="49" s="1"/>
  <c r="AD60" i="21"/>
  <c r="AF59" i="21"/>
  <c r="AE59" i="21" s="1"/>
  <c r="AB21" i="27"/>
  <c r="AC21" i="27"/>
  <c r="AB22" i="27"/>
  <c r="W25" i="27"/>
  <c r="Z24" i="27"/>
  <c r="AA24" i="27" s="1"/>
  <c r="AN156" i="47"/>
  <c r="AQ157" i="47"/>
  <c r="AT156" i="47"/>
  <c r="AO156" i="47" s="1"/>
  <c r="AP155" i="47"/>
  <c r="Y23" i="27"/>
  <c r="V23" i="27"/>
  <c r="AC20" i="27"/>
  <c r="AH22" i="27"/>
  <c r="AO19" i="27"/>
  <c r="AL24" i="27"/>
  <c r="AM23" i="27"/>
  <c r="AK23" i="27"/>
  <c r="C192" i="49" l="1"/>
  <c r="H191" i="49"/>
  <c r="B191" i="49"/>
  <c r="I190" i="49"/>
  <c r="D190" i="49"/>
  <c r="E190" i="49" s="1"/>
  <c r="AD61" i="21"/>
  <c r="AF60" i="21"/>
  <c r="AE60" i="21" s="1"/>
  <c r="W26" i="27"/>
  <c r="Z25" i="27"/>
  <c r="AA25" i="27" s="1"/>
  <c r="AP156" i="47"/>
  <c r="AT157" i="47"/>
  <c r="AP157" i="47" s="1"/>
  <c r="AQ158" i="47"/>
  <c r="AN157" i="47"/>
  <c r="AM24" i="27"/>
  <c r="AL25" i="27"/>
  <c r="AH23" i="27"/>
  <c r="AO21" i="27" s="1"/>
  <c r="AO20" i="27"/>
  <c r="V24" i="27"/>
  <c r="Y24" i="27"/>
  <c r="AK24" i="27"/>
  <c r="AN22" i="27"/>
  <c r="H192" i="49" l="1"/>
  <c r="C193" i="49"/>
  <c r="B192" i="49"/>
  <c r="I191" i="49"/>
  <c r="D191" i="49"/>
  <c r="E191" i="49" s="1"/>
  <c r="AD62" i="21"/>
  <c r="AF61" i="21"/>
  <c r="AE61" i="21" s="1"/>
  <c r="AC23" i="27"/>
  <c r="AB23" i="27"/>
  <c r="AC22" i="27"/>
  <c r="W27" i="27"/>
  <c r="Z26" i="27"/>
  <c r="AA26" i="27" s="1"/>
  <c r="AO157" i="47"/>
  <c r="AT158" i="47"/>
  <c r="AP158" i="47" s="1"/>
  <c r="AQ159" i="47"/>
  <c r="AN158" i="47"/>
  <c r="Y25" i="27"/>
  <c r="AH24" i="27"/>
  <c r="AM25" i="27"/>
  <c r="AL26" i="27"/>
  <c r="AK25" i="27"/>
  <c r="AN23" i="27"/>
  <c r="V25" i="27"/>
  <c r="I192" i="49" l="1"/>
  <c r="D192" i="49"/>
  <c r="E192" i="49" s="1"/>
  <c r="B193" i="49"/>
  <c r="H193" i="49"/>
  <c r="C194" i="49"/>
  <c r="AD63" i="21"/>
  <c r="AF62" i="21"/>
  <c r="AE62" i="21" s="1"/>
  <c r="AB24" i="27"/>
  <c r="W28" i="27"/>
  <c r="Z27" i="27"/>
  <c r="AA27" i="27" s="1"/>
  <c r="AO158" i="47"/>
  <c r="AQ160" i="47"/>
  <c r="AT159" i="47"/>
  <c r="AO159" i="47" s="1"/>
  <c r="AN159" i="47"/>
  <c r="V26" i="27"/>
  <c r="AH25" i="27"/>
  <c r="AO22" i="27"/>
  <c r="AK26" i="27"/>
  <c r="AN24" i="27"/>
  <c r="Y26" i="27"/>
  <c r="AM26" i="27"/>
  <c r="AL27" i="27"/>
  <c r="D193" i="49" l="1"/>
  <c r="E193" i="49" s="1"/>
  <c r="I193" i="49"/>
  <c r="C195" i="49"/>
  <c r="H194" i="49"/>
  <c r="B194" i="49"/>
  <c r="AD64" i="21"/>
  <c r="AF63" i="21"/>
  <c r="AE63" i="21" s="1"/>
  <c r="AB25" i="27"/>
  <c r="AC24" i="27"/>
  <c r="W29" i="27"/>
  <c r="Z28" i="27"/>
  <c r="AA28" i="27" s="1"/>
  <c r="AP159" i="47"/>
  <c r="AT160" i="47"/>
  <c r="AP160" i="47" s="1"/>
  <c r="AQ161" i="47"/>
  <c r="AN160" i="47"/>
  <c r="Y27" i="27"/>
  <c r="AB26" i="27" s="1"/>
  <c r="V27" i="27"/>
  <c r="AH26" i="27"/>
  <c r="AO23" i="27"/>
  <c r="AM27" i="27"/>
  <c r="AL28" i="27"/>
  <c r="AK27" i="27"/>
  <c r="AN25" i="27"/>
  <c r="I194" i="49" l="1"/>
  <c r="D194" i="49"/>
  <c r="E194" i="49" s="1"/>
  <c r="H195" i="49"/>
  <c r="B195" i="49"/>
  <c r="C196" i="49"/>
  <c r="AD65" i="21"/>
  <c r="AF64" i="21"/>
  <c r="AE64" i="21" s="1"/>
  <c r="AC25" i="27"/>
  <c r="W30" i="27"/>
  <c r="Z29" i="27"/>
  <c r="AA29" i="27" s="1"/>
  <c r="AO160" i="47"/>
  <c r="AT161" i="47"/>
  <c r="AO161" i="47" s="1"/>
  <c r="AQ162" i="47"/>
  <c r="AN161" i="47"/>
  <c r="AM28" i="27"/>
  <c r="AL29" i="27"/>
  <c r="V28" i="27"/>
  <c r="AH27" i="27"/>
  <c r="AO24" i="27"/>
  <c r="Y28" i="27"/>
  <c r="AK28" i="27"/>
  <c r="AN26" i="27"/>
  <c r="D195" i="49" l="1"/>
  <c r="E195" i="49" s="1"/>
  <c r="I195" i="49"/>
  <c r="C197" i="49"/>
  <c r="B196" i="49"/>
  <c r="H196" i="49"/>
  <c r="AD66" i="21"/>
  <c r="AF65" i="21"/>
  <c r="AE65" i="21" s="1"/>
  <c r="AB27" i="27"/>
  <c r="AC26" i="27"/>
  <c r="AC27" i="27"/>
  <c r="W31" i="27"/>
  <c r="Z30" i="27"/>
  <c r="AA30" i="27" s="1"/>
  <c r="AP161" i="47"/>
  <c r="AT162" i="47"/>
  <c r="AO162" i="47" s="1"/>
  <c r="AQ163" i="47"/>
  <c r="AN162" i="47"/>
  <c r="AK29" i="27"/>
  <c r="AH28" i="27"/>
  <c r="AO26" i="27" s="1"/>
  <c r="AO25" i="27"/>
  <c r="AN28" i="27"/>
  <c r="Y29" i="27"/>
  <c r="V29" i="27"/>
  <c r="AM29" i="27"/>
  <c r="AL30" i="27"/>
  <c r="AN27" i="27"/>
  <c r="I196" i="49" l="1"/>
  <c r="D196" i="49"/>
  <c r="E196" i="49" s="1"/>
  <c r="B197" i="49"/>
  <c r="H197" i="49"/>
  <c r="C198" i="49"/>
  <c r="AD67" i="21"/>
  <c r="AF66" i="21"/>
  <c r="AE66" i="21" s="1"/>
  <c r="AB29" i="27"/>
  <c r="AB28" i="27"/>
  <c r="W32" i="27"/>
  <c r="Z31" i="27"/>
  <c r="AA31" i="27" s="1"/>
  <c r="AP162" i="47"/>
  <c r="AT163" i="47"/>
  <c r="AO163" i="47" s="1"/>
  <c r="AQ164" i="47"/>
  <c r="AN163" i="47"/>
  <c r="AL31" i="27"/>
  <c r="AM30" i="27"/>
  <c r="Y30" i="27"/>
  <c r="AH29" i="27"/>
  <c r="V30" i="27"/>
  <c r="AK30" i="27"/>
  <c r="I197" i="49" l="1"/>
  <c r="D197" i="49"/>
  <c r="E197" i="49" s="1"/>
  <c r="B198" i="49"/>
  <c r="H198" i="49"/>
  <c r="C199" i="49"/>
  <c r="AD68" i="21"/>
  <c r="AF67" i="21"/>
  <c r="AE67" i="21" s="1"/>
  <c r="AC28" i="27"/>
  <c r="AC29" i="27"/>
  <c r="W33" i="27"/>
  <c r="Z32" i="27"/>
  <c r="AA32" i="27" s="1"/>
  <c r="AP163" i="47"/>
  <c r="AQ165" i="47"/>
  <c r="AT164" i="47"/>
  <c r="AO164" i="47" s="1"/>
  <c r="AN164" i="47"/>
  <c r="AH30" i="27"/>
  <c r="AO27" i="27"/>
  <c r="V31" i="27"/>
  <c r="Y31" i="27"/>
  <c r="AB30" i="27" s="1"/>
  <c r="AK31" i="27"/>
  <c r="AN29" i="27"/>
  <c r="AM31" i="27"/>
  <c r="AL32" i="27"/>
  <c r="I198" i="49" l="1"/>
  <c r="D198" i="49"/>
  <c r="E198" i="49" s="1"/>
  <c r="H199" i="49"/>
  <c r="B199" i="49"/>
  <c r="C200" i="49"/>
  <c r="AD69" i="21"/>
  <c r="AF68" i="21"/>
  <c r="AE68" i="21" s="1"/>
  <c r="AB31" i="27"/>
  <c r="W34" i="27"/>
  <c r="Z33" i="27"/>
  <c r="AA33" i="27" s="1"/>
  <c r="AT165" i="47"/>
  <c r="AO165" i="47" s="1"/>
  <c r="AQ166" i="47"/>
  <c r="AN165" i="47"/>
  <c r="AP164" i="47"/>
  <c r="V32" i="27"/>
  <c r="Y32" i="27"/>
  <c r="AH31" i="27"/>
  <c r="AO28" i="27"/>
  <c r="AK32" i="27"/>
  <c r="AN30" i="27"/>
  <c r="AL33" i="27"/>
  <c r="AM32" i="27"/>
  <c r="C201" i="49" l="1"/>
  <c r="H200" i="49"/>
  <c r="B200" i="49"/>
  <c r="I199" i="49"/>
  <c r="D199" i="49"/>
  <c r="E199" i="49" s="1"/>
  <c r="AD70" i="21"/>
  <c r="AF69" i="21"/>
  <c r="AE69" i="21" s="1"/>
  <c r="AC30" i="27"/>
  <c r="AB32" i="27"/>
  <c r="W35" i="27"/>
  <c r="Z34" i="27"/>
  <c r="AA34" i="27" s="1"/>
  <c r="AP165" i="47"/>
  <c r="AT166" i="47"/>
  <c r="AO166" i="47" s="1"/>
  <c r="AQ167" i="47"/>
  <c r="AN166" i="47"/>
  <c r="Y33" i="27"/>
  <c r="AK33" i="27"/>
  <c r="AN32" i="27"/>
  <c r="V33" i="27"/>
  <c r="AH32" i="27"/>
  <c r="AO29" i="27"/>
  <c r="AM33" i="27"/>
  <c r="AL34" i="27"/>
  <c r="AN31" i="27"/>
  <c r="D200" i="49" l="1"/>
  <c r="E200" i="49" s="1"/>
  <c r="I200" i="49"/>
  <c r="C202" i="49"/>
  <c r="B201" i="49"/>
  <c r="H201" i="49"/>
  <c r="AD71" i="21"/>
  <c r="AF70" i="21"/>
  <c r="AE70" i="21" s="1"/>
  <c r="AC31" i="27"/>
  <c r="AC32" i="27"/>
  <c r="W36" i="27"/>
  <c r="Z35" i="27"/>
  <c r="AA35" i="27" s="1"/>
  <c r="AP166" i="47"/>
  <c r="AT167" i="47"/>
  <c r="AO167" i="47" s="1"/>
  <c r="AQ168" i="47"/>
  <c r="AN167" i="47"/>
  <c r="V34" i="27"/>
  <c r="AK34" i="27"/>
  <c r="AM34" i="27"/>
  <c r="AL35" i="27"/>
  <c r="AH33" i="27"/>
  <c r="AO30" i="27"/>
  <c r="Y34" i="27"/>
  <c r="C203" i="49" l="1"/>
  <c r="B202" i="49"/>
  <c r="H202" i="49"/>
  <c r="D201" i="49"/>
  <c r="E201" i="49" s="1"/>
  <c r="I201" i="49"/>
  <c r="AD72" i="21"/>
  <c r="AF71" i="21"/>
  <c r="AE71" i="21" s="1"/>
  <c r="AB33" i="27"/>
  <c r="W37" i="27"/>
  <c r="Z36" i="27"/>
  <c r="AA36" i="27" s="1"/>
  <c r="AP167" i="47"/>
  <c r="AT168" i="47"/>
  <c r="AP168" i="47" s="1"/>
  <c r="AQ169" i="47"/>
  <c r="AN168" i="47"/>
  <c r="AH34" i="27"/>
  <c r="AO31" i="27"/>
  <c r="AL36" i="27"/>
  <c r="AM35" i="27"/>
  <c r="V35" i="27"/>
  <c r="AK35" i="27"/>
  <c r="Y35" i="27"/>
  <c r="AN33" i="27"/>
  <c r="D202" i="49" l="1"/>
  <c r="E202" i="49" s="1"/>
  <c r="I202" i="49"/>
  <c r="H203" i="49"/>
  <c r="B203" i="49"/>
  <c r="C204" i="49"/>
  <c r="AD73" i="21"/>
  <c r="AF72" i="21"/>
  <c r="AE72" i="21" s="1"/>
  <c r="AB34" i="27"/>
  <c r="AC33" i="27"/>
  <c r="AB35" i="27"/>
  <c r="W38" i="27"/>
  <c r="Z38" i="27" s="1"/>
  <c r="AA38" i="27" s="1"/>
  <c r="Z37" i="27"/>
  <c r="AA37" i="27" s="1"/>
  <c r="AO168" i="47"/>
  <c r="AT169" i="47"/>
  <c r="AP169" i="47" s="1"/>
  <c r="AQ170" i="47"/>
  <c r="AN169" i="47"/>
  <c r="V36" i="27"/>
  <c r="Y36" i="27"/>
  <c r="AK36" i="27"/>
  <c r="AN34" i="27"/>
  <c r="AH35" i="27"/>
  <c r="AO32" i="27"/>
  <c r="AM36" i="27"/>
  <c r="AL37" i="27"/>
  <c r="D203" i="49" l="1"/>
  <c r="E203" i="49" s="1"/>
  <c r="I203" i="49"/>
  <c r="C205" i="49"/>
  <c r="H204" i="49"/>
  <c r="B204" i="49"/>
  <c r="AD74" i="21"/>
  <c r="AF73" i="21"/>
  <c r="AE73" i="21" s="1"/>
  <c r="AC34" i="27"/>
  <c r="AO169" i="47"/>
  <c r="AT170" i="47"/>
  <c r="AP170" i="47" s="1"/>
  <c r="AQ171" i="47"/>
  <c r="AN170" i="47"/>
  <c r="Y37" i="27"/>
  <c r="AH36" i="27"/>
  <c r="AO33" i="27"/>
  <c r="AL38" i="27"/>
  <c r="AM38" i="27" s="1"/>
  <c r="AM37" i="27"/>
  <c r="AK37" i="27"/>
  <c r="AN35" i="27"/>
  <c r="V37" i="27"/>
  <c r="I204" i="49" l="1"/>
  <c r="D204" i="49"/>
  <c r="E204" i="49" s="1"/>
  <c r="C206" i="49"/>
  <c r="B205" i="49"/>
  <c r="H205" i="49"/>
  <c r="AD75" i="21"/>
  <c r="AF74" i="21"/>
  <c r="AE74" i="21" s="1"/>
  <c r="AC35" i="27"/>
  <c r="AB36" i="27"/>
  <c r="AB37" i="27"/>
  <c r="AO170" i="47"/>
  <c r="AT171" i="47"/>
  <c r="AP171" i="47" s="1"/>
  <c r="AQ172" i="47"/>
  <c r="AN171" i="47"/>
  <c r="V38" i="27"/>
  <c r="AC38" i="27" s="1"/>
  <c r="AK38" i="27"/>
  <c r="AN37" i="27" s="1"/>
  <c r="AN36" i="27"/>
  <c r="AH37" i="27"/>
  <c r="AO34" i="27"/>
  <c r="Y38" i="27"/>
  <c r="AB38" i="27" s="1"/>
  <c r="I205" i="49" l="1"/>
  <c r="D205" i="49"/>
  <c r="E205" i="49" s="1"/>
  <c r="C207" i="49"/>
  <c r="B206" i="49"/>
  <c r="H206" i="49"/>
  <c r="AD76" i="21"/>
  <c r="AF75" i="21"/>
  <c r="AE75" i="21" s="1"/>
  <c r="AC36" i="27"/>
  <c r="AC37" i="27"/>
  <c r="AO171" i="47"/>
  <c r="AT172" i="47"/>
  <c r="AP172" i="47" s="1"/>
  <c r="AQ173" i="47"/>
  <c r="AN172" i="47"/>
  <c r="AH38" i="27"/>
  <c r="AO38" i="27" s="1"/>
  <c r="AO37" i="27"/>
  <c r="AO35" i="27"/>
  <c r="AN38" i="27"/>
  <c r="AO36" i="27"/>
  <c r="D206" i="49" l="1"/>
  <c r="E206" i="49" s="1"/>
  <c r="I206" i="49"/>
  <c r="C208" i="49"/>
  <c r="B207" i="49"/>
  <c r="H207" i="49"/>
  <c r="AD77" i="21"/>
  <c r="AF76" i="21"/>
  <c r="AE76" i="21" s="1"/>
  <c r="AN173" i="47"/>
  <c r="AT173" i="47"/>
  <c r="AO173" i="47" s="1"/>
  <c r="AQ174" i="47"/>
  <c r="AO172" i="47"/>
  <c r="C209" i="49" l="1"/>
  <c r="B208" i="49"/>
  <c r="H208" i="49"/>
  <c r="D207" i="49"/>
  <c r="E207" i="49" s="1"/>
  <c r="I207" i="49"/>
  <c r="AD78" i="21"/>
  <c r="AF77" i="21"/>
  <c r="AE77" i="21" s="1"/>
  <c r="AP173" i="47"/>
  <c r="AQ175" i="47"/>
  <c r="AN174" i="47"/>
  <c r="AT174" i="47"/>
  <c r="AO174" i="47" s="1"/>
  <c r="D208" i="49" l="1"/>
  <c r="E208" i="49" s="1"/>
  <c r="I208" i="49"/>
  <c r="C210" i="49"/>
  <c r="H209" i="49"/>
  <c r="B209" i="49"/>
  <c r="AD79" i="21"/>
  <c r="AF78" i="21"/>
  <c r="AE78" i="21" s="1"/>
  <c r="AP174" i="47"/>
  <c r="AT175" i="47"/>
  <c r="AO175" i="47" s="1"/>
  <c r="AQ176" i="47"/>
  <c r="AN175" i="47"/>
  <c r="I209" i="49" l="1"/>
  <c r="D209" i="49"/>
  <c r="E209" i="49" s="1"/>
  <c r="B210" i="49"/>
  <c r="C211" i="49"/>
  <c r="H210" i="49"/>
  <c r="AD80" i="21"/>
  <c r="AF79" i="21"/>
  <c r="AE79" i="21" s="1"/>
  <c r="AP175" i="47"/>
  <c r="AT176" i="47"/>
  <c r="AP176" i="47" s="1"/>
  <c r="AQ177" i="47"/>
  <c r="AN176" i="47"/>
  <c r="C212" i="49" l="1"/>
  <c r="H211" i="49"/>
  <c r="B211" i="49"/>
  <c r="D210" i="49"/>
  <c r="E210" i="49" s="1"/>
  <c r="I210" i="49"/>
  <c r="AD81" i="21"/>
  <c r="AF80" i="21"/>
  <c r="AE80" i="21" s="1"/>
  <c r="AO176" i="47"/>
  <c r="AT177" i="47"/>
  <c r="AP177" i="47" s="1"/>
  <c r="AQ178" i="47"/>
  <c r="AN177" i="47"/>
  <c r="C213" i="49" l="1"/>
  <c r="B212" i="49"/>
  <c r="H212" i="49"/>
  <c r="D211" i="49"/>
  <c r="E211" i="49" s="1"/>
  <c r="I211" i="49"/>
  <c r="AD82" i="21"/>
  <c r="AF81" i="21"/>
  <c r="AE81" i="21" s="1"/>
  <c r="AO177" i="47"/>
  <c r="AT178" i="47"/>
  <c r="AO178" i="47" s="1"/>
  <c r="AQ179" i="47"/>
  <c r="AN178" i="47"/>
  <c r="I212" i="49" l="1"/>
  <c r="D212" i="49"/>
  <c r="E212" i="49" s="1"/>
  <c r="C214" i="49"/>
  <c r="B213" i="49"/>
  <c r="H213" i="49"/>
  <c r="AD83" i="21"/>
  <c r="AF82" i="21"/>
  <c r="AE82" i="21" s="1"/>
  <c r="AP178" i="47"/>
  <c r="AQ180" i="47"/>
  <c r="AT179" i="47"/>
  <c r="AO179" i="47" s="1"/>
  <c r="AN179" i="47"/>
  <c r="D213" i="49" l="1"/>
  <c r="E213" i="49" s="1"/>
  <c r="I213" i="49"/>
  <c r="H214" i="49"/>
  <c r="B214" i="49"/>
  <c r="C215" i="49"/>
  <c r="AD84" i="21"/>
  <c r="AF83" i="21"/>
  <c r="AE83" i="21" s="1"/>
  <c r="AP179" i="47"/>
  <c r="AT180" i="47"/>
  <c r="AP180" i="47" s="1"/>
  <c r="AO180" i="47"/>
  <c r="AQ181" i="47"/>
  <c r="AN180" i="47"/>
  <c r="C216" i="49" l="1"/>
  <c r="H215" i="49"/>
  <c r="B215" i="49"/>
  <c r="D214" i="49"/>
  <c r="E214" i="49" s="1"/>
  <c r="I214" i="49"/>
  <c r="AD85" i="21"/>
  <c r="AF84" i="21"/>
  <c r="AE84" i="21" s="1"/>
  <c r="AN181" i="47"/>
  <c r="AQ182" i="47"/>
  <c r="AT181" i="47"/>
  <c r="AO181" i="47" s="1"/>
  <c r="I215" i="49" l="1"/>
  <c r="D215" i="49"/>
  <c r="E215" i="49" s="1"/>
  <c r="C217" i="49"/>
  <c r="B216" i="49"/>
  <c r="H216" i="49"/>
  <c r="AD86" i="21"/>
  <c r="AF85" i="21"/>
  <c r="AE85" i="21" s="1"/>
  <c r="AP181" i="47"/>
  <c r="AQ183" i="47"/>
  <c r="AT182" i="47"/>
  <c r="AO182" i="47" s="1"/>
  <c r="AN182" i="47"/>
  <c r="I216" i="49" l="1"/>
  <c r="D216" i="49"/>
  <c r="E216" i="49" s="1"/>
  <c r="H217" i="49"/>
  <c r="B217" i="49"/>
  <c r="C218" i="49"/>
  <c r="AD87" i="21"/>
  <c r="AF86" i="21"/>
  <c r="AE86" i="21" s="1"/>
  <c r="AP182" i="47"/>
  <c r="AT183" i="47"/>
  <c r="AP183" i="47" s="1"/>
  <c r="AQ184" i="47"/>
  <c r="AN183" i="47"/>
  <c r="H218" i="49" l="1"/>
  <c r="C219" i="49"/>
  <c r="B218" i="49"/>
  <c r="I217" i="49"/>
  <c r="D217" i="49"/>
  <c r="E217" i="49" s="1"/>
  <c r="AD88" i="21"/>
  <c r="AF87" i="21"/>
  <c r="AE87" i="21" s="1"/>
  <c r="AO183" i="47"/>
  <c r="AQ185" i="47"/>
  <c r="AT184" i="47"/>
  <c r="AP184" i="47" s="1"/>
  <c r="AN184" i="47"/>
  <c r="I218" i="49" l="1"/>
  <c r="D218" i="49"/>
  <c r="E218" i="49" s="1"/>
  <c r="B219" i="49"/>
  <c r="C220" i="49"/>
  <c r="H219" i="49"/>
  <c r="AD89" i="21"/>
  <c r="AF88" i="21"/>
  <c r="AE88" i="21" s="1"/>
  <c r="AO184" i="47"/>
  <c r="AT185" i="47"/>
  <c r="AO185" i="47" s="1"/>
  <c r="AQ186" i="47"/>
  <c r="AN185" i="47"/>
  <c r="D219" i="49" l="1"/>
  <c r="E219" i="49" s="1"/>
  <c r="I219" i="49"/>
  <c r="B220" i="49"/>
  <c r="C221" i="49"/>
  <c r="H220" i="49"/>
  <c r="AD90" i="21"/>
  <c r="AF89" i="21"/>
  <c r="AE89" i="21" s="1"/>
  <c r="AP185" i="47"/>
  <c r="AT186" i="47"/>
  <c r="AP186" i="47" s="1"/>
  <c r="AQ187" i="47"/>
  <c r="AN186" i="47"/>
  <c r="D220" i="49" l="1"/>
  <c r="E220" i="49" s="1"/>
  <c r="I220" i="49"/>
  <c r="H221" i="49"/>
  <c r="B221" i="49"/>
  <c r="C222" i="49"/>
  <c r="AD91" i="21"/>
  <c r="AF90" i="21"/>
  <c r="AE90" i="21" s="1"/>
  <c r="AO186" i="47"/>
  <c r="AT187" i="47"/>
  <c r="AO187" i="47" s="1"/>
  <c r="AQ188" i="47"/>
  <c r="AN187" i="47"/>
  <c r="D221" i="49" l="1"/>
  <c r="E221" i="49" s="1"/>
  <c r="I221" i="49"/>
  <c r="C223" i="49"/>
  <c r="H222" i="49"/>
  <c r="B222" i="49"/>
  <c r="AD92" i="21"/>
  <c r="AF91" i="21"/>
  <c r="AE91" i="21" s="1"/>
  <c r="AP187" i="47"/>
  <c r="AQ189" i="47"/>
  <c r="AT188" i="47"/>
  <c r="AO188" i="47" s="1"/>
  <c r="AN188" i="47"/>
  <c r="I222" i="49" l="1"/>
  <c r="D222" i="49"/>
  <c r="E222" i="49" s="1"/>
  <c r="B223" i="49"/>
  <c r="H223" i="49"/>
  <c r="C224" i="49"/>
  <c r="AD93" i="21"/>
  <c r="AF92" i="21"/>
  <c r="AE92" i="21" s="1"/>
  <c r="AQ190" i="47"/>
  <c r="AT189" i="47"/>
  <c r="AO189" i="47" s="1"/>
  <c r="AN189" i="47"/>
  <c r="AP188" i="47"/>
  <c r="H224" i="49" l="1"/>
  <c r="B224" i="49"/>
  <c r="C225" i="49"/>
  <c r="I223" i="49"/>
  <c r="D223" i="49"/>
  <c r="E223" i="49" s="1"/>
  <c r="AD94" i="21"/>
  <c r="AF93" i="21"/>
  <c r="AE93" i="21" s="1"/>
  <c r="AP189" i="47"/>
  <c r="AT190" i="47"/>
  <c r="AP190" i="47" s="1"/>
  <c r="AQ191" i="47"/>
  <c r="AN190" i="47"/>
  <c r="D224" i="49" l="1"/>
  <c r="E224" i="49" s="1"/>
  <c r="I224" i="49"/>
  <c r="B225" i="49"/>
  <c r="H225" i="49"/>
  <c r="C226" i="49"/>
  <c r="AD95" i="21"/>
  <c r="AF94" i="21"/>
  <c r="AE94" i="21" s="1"/>
  <c r="AO190" i="47"/>
  <c r="AT191" i="47"/>
  <c r="AP191" i="47" s="1"/>
  <c r="AQ192" i="47"/>
  <c r="AN191" i="47"/>
  <c r="H226" i="49" l="1"/>
  <c r="B226" i="49"/>
  <c r="C227" i="49"/>
  <c r="D225" i="49"/>
  <c r="E225" i="49" s="1"/>
  <c r="I225" i="49"/>
  <c r="AD96" i="21"/>
  <c r="AF95" i="21"/>
  <c r="AE95" i="21" s="1"/>
  <c r="AO191" i="47"/>
  <c r="AT192" i="47"/>
  <c r="AP192" i="47" s="1"/>
  <c r="AQ193" i="47"/>
  <c r="AN192" i="47"/>
  <c r="D226" i="49" l="1"/>
  <c r="E226" i="49" s="1"/>
  <c r="I226" i="49"/>
  <c r="H227" i="49"/>
  <c r="B227" i="49"/>
  <c r="C228" i="49"/>
  <c r="AD97" i="21"/>
  <c r="AF96" i="21"/>
  <c r="AE96" i="21" s="1"/>
  <c r="AO192" i="47"/>
  <c r="AT193" i="47"/>
  <c r="AP193" i="47" s="1"/>
  <c r="AQ194" i="47"/>
  <c r="AN193" i="47"/>
  <c r="H228" i="49" l="1"/>
  <c r="B228" i="49"/>
  <c r="C229" i="49"/>
  <c r="I227" i="49"/>
  <c r="D227" i="49"/>
  <c r="E227" i="49" s="1"/>
  <c r="AD98" i="21"/>
  <c r="AF97" i="21"/>
  <c r="AE97" i="21" s="1"/>
  <c r="AO193" i="47"/>
  <c r="AT194" i="47"/>
  <c r="AP194" i="47" s="1"/>
  <c r="AQ195" i="47"/>
  <c r="AN194" i="47"/>
  <c r="I228" i="49" l="1"/>
  <c r="D228" i="49"/>
  <c r="E228" i="49" s="1"/>
  <c r="C230" i="49"/>
  <c r="B229" i="49"/>
  <c r="H229" i="49"/>
  <c r="AD99" i="21"/>
  <c r="AF98" i="21"/>
  <c r="AE98" i="21" s="1"/>
  <c r="AO194" i="47"/>
  <c r="AT195" i="47"/>
  <c r="AO195" i="47" s="1"/>
  <c r="AQ196" i="47"/>
  <c r="AN195" i="47"/>
  <c r="I229" i="49" l="1"/>
  <c r="D229" i="49"/>
  <c r="E229" i="49" s="1"/>
  <c r="C231" i="49"/>
  <c r="H230" i="49"/>
  <c r="B230" i="49"/>
  <c r="AD100" i="21"/>
  <c r="AF99" i="21"/>
  <c r="AE99" i="21" s="1"/>
  <c r="AP195" i="47"/>
  <c r="AT196" i="47"/>
  <c r="AP196" i="47" s="1"/>
  <c r="AQ197" i="47"/>
  <c r="AN196" i="47"/>
  <c r="I230" i="49" l="1"/>
  <c r="D230" i="49"/>
  <c r="E230" i="49" s="1"/>
  <c r="H231" i="49"/>
  <c r="B231" i="49"/>
  <c r="C232" i="49"/>
  <c r="AD101" i="21"/>
  <c r="AF101" i="21" s="1"/>
  <c r="AE101" i="21" s="1"/>
  <c r="AF100" i="21"/>
  <c r="AE100" i="21" s="1"/>
  <c r="AO196" i="47"/>
  <c r="AT197" i="47"/>
  <c r="AO197" i="47" s="1"/>
  <c r="AQ198" i="47"/>
  <c r="AN197" i="47"/>
  <c r="H232" i="49" l="1"/>
  <c r="C233" i="49"/>
  <c r="B232" i="49"/>
  <c r="D231" i="49"/>
  <c r="E231" i="49" s="1"/>
  <c r="I231" i="49"/>
  <c r="AP197" i="47"/>
  <c r="AT198" i="47"/>
  <c r="AO198" i="47" s="1"/>
  <c r="AQ199" i="47"/>
  <c r="AN198" i="47"/>
  <c r="B233" i="49" l="1"/>
  <c r="C234" i="49"/>
  <c r="H233" i="49"/>
  <c r="D232" i="49"/>
  <c r="E232" i="49" s="1"/>
  <c r="I232" i="49"/>
  <c r="AP198" i="47"/>
  <c r="AT199" i="47"/>
  <c r="AO199" i="47" s="1"/>
  <c r="AQ200" i="47"/>
  <c r="AN199" i="47"/>
  <c r="C235" i="49" l="1"/>
  <c r="H234" i="49"/>
  <c r="B234" i="49"/>
  <c r="I233" i="49"/>
  <c r="D233" i="49"/>
  <c r="E233" i="49" s="1"/>
  <c r="AP199" i="47"/>
  <c r="AQ201" i="47"/>
  <c r="AT200" i="47"/>
  <c r="AP200" i="47" s="1"/>
  <c r="AN200" i="47"/>
  <c r="I234" i="49" l="1"/>
  <c r="D234" i="49"/>
  <c r="E234" i="49" s="1"/>
  <c r="H235" i="49"/>
  <c r="C236" i="49"/>
  <c r="B235" i="49"/>
  <c r="AO200" i="47"/>
  <c r="AT201" i="47"/>
  <c r="AP201" i="47" s="1"/>
  <c r="AQ202" i="47"/>
  <c r="AN201" i="47"/>
  <c r="C237" i="49" l="1"/>
  <c r="B236" i="49"/>
  <c r="H236" i="49"/>
  <c r="I235" i="49"/>
  <c r="D235" i="49"/>
  <c r="E235" i="49" s="1"/>
  <c r="AO201" i="47"/>
  <c r="AT202" i="47"/>
  <c r="AP202" i="47" s="1"/>
  <c r="AQ203" i="47"/>
  <c r="AN202" i="47"/>
  <c r="I236" i="49" l="1"/>
  <c r="D236" i="49"/>
  <c r="E236" i="49" s="1"/>
  <c r="B237" i="49"/>
  <c r="C238" i="49"/>
  <c r="H237" i="49"/>
  <c r="AO202" i="47"/>
  <c r="AT203" i="47"/>
  <c r="AO203" i="47" s="1"/>
  <c r="AQ204" i="47"/>
  <c r="AN203" i="47"/>
  <c r="C239" i="49" l="1"/>
  <c r="H238" i="49"/>
  <c r="B238" i="49"/>
  <c r="I237" i="49"/>
  <c r="D237" i="49"/>
  <c r="E237" i="49" s="1"/>
  <c r="AP203" i="47"/>
  <c r="AQ205" i="47"/>
  <c r="AT204" i="47"/>
  <c r="AO204" i="47" s="1"/>
  <c r="AN204" i="47"/>
  <c r="D238" i="49" l="1"/>
  <c r="E238" i="49" s="1"/>
  <c r="I238" i="49"/>
  <c r="H239" i="49"/>
  <c r="B239" i="49"/>
  <c r="C240" i="49"/>
  <c r="AP204" i="47"/>
  <c r="AQ206" i="47"/>
  <c r="AN205" i="47"/>
  <c r="AT205" i="47"/>
  <c r="AO205" i="47" s="1"/>
  <c r="B240" i="49" l="1"/>
  <c r="C241" i="49"/>
  <c r="H240" i="49"/>
  <c r="D239" i="49"/>
  <c r="E239" i="49" s="1"/>
  <c r="I239" i="49"/>
  <c r="AP205" i="47"/>
  <c r="AN206" i="47"/>
  <c r="AQ207" i="47"/>
  <c r="AT206" i="47"/>
  <c r="AP206" i="47"/>
  <c r="AO206" i="47"/>
  <c r="C242" i="49" l="1"/>
  <c r="B241" i="49"/>
  <c r="H241" i="49"/>
  <c r="I240" i="49"/>
  <c r="D240" i="49"/>
  <c r="E240" i="49" s="1"/>
  <c r="AT207" i="47"/>
  <c r="AO207" i="47" s="1"/>
  <c r="AQ208" i="47"/>
  <c r="AN207" i="47"/>
  <c r="I241" i="49" l="1"/>
  <c r="D241" i="49"/>
  <c r="E241" i="49" s="1"/>
  <c r="C243" i="49"/>
  <c r="H242" i="49"/>
  <c r="B242" i="49"/>
  <c r="AP207" i="47"/>
  <c r="AQ209" i="47"/>
  <c r="AN208" i="47"/>
  <c r="AT208" i="47"/>
  <c r="AP208" i="47" s="1"/>
  <c r="D242" i="49" l="1"/>
  <c r="E242" i="49" s="1"/>
  <c r="I242" i="49"/>
  <c r="H243" i="49"/>
  <c r="C244" i="49"/>
  <c r="B243" i="49"/>
  <c r="AO208" i="47"/>
  <c r="AT209" i="47"/>
  <c r="AP209" i="47" s="1"/>
  <c r="AQ210" i="47"/>
  <c r="AN209" i="47"/>
  <c r="C245" i="49" l="1"/>
  <c r="H244" i="49"/>
  <c r="B244" i="49"/>
  <c r="I243" i="49"/>
  <c r="D243" i="49"/>
  <c r="E243" i="49" s="1"/>
  <c r="AO209" i="47"/>
  <c r="AT210" i="47"/>
  <c r="AO210" i="47" s="1"/>
  <c r="AQ211" i="47"/>
  <c r="AN210" i="47"/>
  <c r="I244" i="49" l="1"/>
  <c r="D244" i="49"/>
  <c r="E244" i="49" s="1"/>
  <c r="H245" i="49"/>
  <c r="B245" i="49"/>
  <c r="C246" i="49"/>
  <c r="AP210" i="47"/>
  <c r="AN211" i="47"/>
  <c r="AQ212" i="47"/>
  <c r="AT211" i="47"/>
  <c r="AO211" i="47" s="1"/>
  <c r="I245" i="49" l="1"/>
  <c r="D245" i="49"/>
  <c r="E245" i="49" s="1"/>
  <c r="B246" i="49"/>
  <c r="C247" i="49"/>
  <c r="H246" i="49"/>
  <c r="AQ213" i="47"/>
  <c r="AT212" i="47"/>
  <c r="AP212" i="47" s="1"/>
  <c r="AN212" i="47"/>
  <c r="AP211" i="47"/>
  <c r="I246" i="49" l="1"/>
  <c r="D246" i="49"/>
  <c r="E246" i="49" s="1"/>
  <c r="H247" i="49"/>
  <c r="B247" i="49"/>
  <c r="C248" i="49"/>
  <c r="AO212" i="47"/>
  <c r="AT213" i="47"/>
  <c r="AP213" i="47" s="1"/>
  <c r="AQ214" i="47"/>
  <c r="AN213" i="47"/>
  <c r="H248" i="49" l="1"/>
  <c r="B248" i="49"/>
  <c r="C249" i="49"/>
  <c r="D247" i="49"/>
  <c r="E247" i="49" s="1"/>
  <c r="I247" i="49"/>
  <c r="AO213" i="47"/>
  <c r="AT214" i="47"/>
  <c r="AO214" i="47" s="1"/>
  <c r="AQ215" i="47"/>
  <c r="AN214" i="47"/>
  <c r="D248" i="49" l="1"/>
  <c r="E248" i="49" s="1"/>
  <c r="I248" i="49"/>
  <c r="H249" i="49"/>
  <c r="C250" i="49"/>
  <c r="B249" i="49"/>
  <c r="AP214" i="47"/>
  <c r="AQ216" i="47"/>
  <c r="AT215" i="47"/>
  <c r="AP215" i="47" s="1"/>
  <c r="AN215" i="47"/>
  <c r="H250" i="49" l="1"/>
  <c r="C251" i="49"/>
  <c r="B250" i="49"/>
  <c r="I249" i="49"/>
  <c r="D249" i="49"/>
  <c r="E249" i="49" s="1"/>
  <c r="AO215" i="47"/>
  <c r="AT216" i="47"/>
  <c r="AO216" i="47" s="1"/>
  <c r="AQ217" i="47"/>
  <c r="AN216" i="47"/>
  <c r="D250" i="49" l="1"/>
  <c r="E250" i="49" s="1"/>
  <c r="I250" i="49"/>
  <c r="B251" i="49"/>
  <c r="H251" i="49"/>
  <c r="C252" i="49"/>
  <c r="AP216" i="47"/>
  <c r="AT217" i="47"/>
  <c r="AO217" i="47" s="1"/>
  <c r="AQ218" i="47"/>
  <c r="AN217" i="47"/>
  <c r="D251" i="49" l="1"/>
  <c r="E251" i="49" s="1"/>
  <c r="I251" i="49"/>
  <c r="H252" i="49"/>
  <c r="C253" i="49"/>
  <c r="B252" i="49"/>
  <c r="AP217" i="47"/>
  <c r="AT218" i="47"/>
  <c r="AO218" i="47" s="1"/>
  <c r="AQ219" i="47"/>
  <c r="AN218" i="47"/>
  <c r="D252" i="49" l="1"/>
  <c r="E252" i="49" s="1"/>
  <c r="I252" i="49"/>
  <c r="B253" i="49"/>
  <c r="C254" i="49"/>
  <c r="H253" i="49"/>
  <c r="AP218" i="47"/>
  <c r="AN219" i="47"/>
  <c r="AQ220" i="47"/>
  <c r="AT219" i="47"/>
  <c r="AO219" i="47" s="1"/>
  <c r="D253" i="49" l="1"/>
  <c r="E253" i="49" s="1"/>
  <c r="I253" i="49"/>
  <c r="C255" i="49"/>
  <c r="H254" i="49"/>
  <c r="B254" i="49"/>
  <c r="AQ221" i="47"/>
  <c r="AT220" i="47"/>
  <c r="AP220" i="47" s="1"/>
  <c r="AO220" i="47"/>
  <c r="AN220" i="47"/>
  <c r="AP219" i="47"/>
  <c r="D254" i="49" l="1"/>
  <c r="E254" i="49" s="1"/>
  <c r="I254" i="49"/>
  <c r="B255" i="49"/>
  <c r="C256" i="49"/>
  <c r="H255" i="49"/>
  <c r="AT221" i="47"/>
  <c r="AP221" i="47" s="1"/>
  <c r="AQ222" i="47"/>
  <c r="AN221" i="47"/>
  <c r="C257" i="49" l="1"/>
  <c r="B256" i="49"/>
  <c r="H256" i="49"/>
  <c r="D255" i="49"/>
  <c r="E255" i="49" s="1"/>
  <c r="I255" i="49"/>
  <c r="AO221" i="47"/>
  <c r="AT222" i="47"/>
  <c r="AO222" i="47" s="1"/>
  <c r="AQ223" i="47"/>
  <c r="AN222" i="47"/>
  <c r="D256" i="49" l="1"/>
  <c r="E256" i="49" s="1"/>
  <c r="I256" i="49"/>
  <c r="C258" i="49"/>
  <c r="B257" i="49"/>
  <c r="H257" i="49"/>
  <c r="AP222" i="47"/>
  <c r="AT223" i="47"/>
  <c r="AO223" i="47" s="1"/>
  <c r="AP223" i="47"/>
  <c r="AQ224" i="47"/>
  <c r="AN223" i="47"/>
  <c r="I257" i="49" l="1"/>
  <c r="D257" i="49"/>
  <c r="E257" i="49" s="1"/>
  <c r="C259" i="49"/>
  <c r="B258" i="49"/>
  <c r="H258" i="49"/>
  <c r="AT224" i="47"/>
  <c r="AO224" i="47" s="1"/>
  <c r="AQ225" i="47"/>
  <c r="AP224" i="47"/>
  <c r="AN224" i="47"/>
  <c r="B259" i="49" l="1"/>
  <c r="C260" i="49"/>
  <c r="H259" i="49"/>
  <c r="D258" i="49"/>
  <c r="E258" i="49" s="1"/>
  <c r="I258" i="49"/>
  <c r="AT225" i="47"/>
  <c r="AO225" i="47" s="1"/>
  <c r="AQ226" i="47"/>
  <c r="AN225" i="47"/>
  <c r="B260" i="49" l="1"/>
  <c r="C261" i="49"/>
  <c r="H260" i="49"/>
  <c r="D259" i="49"/>
  <c r="E259" i="49" s="1"/>
  <c r="I259" i="49"/>
  <c r="AP225" i="47"/>
  <c r="AT226" i="47"/>
  <c r="AO226" i="47" s="1"/>
  <c r="AQ227" i="47"/>
  <c r="AN226" i="47"/>
  <c r="H261" i="49" l="1"/>
  <c r="C262" i="49"/>
  <c r="B261" i="49"/>
  <c r="D260" i="49"/>
  <c r="E260" i="49" s="1"/>
  <c r="I260" i="49"/>
  <c r="AP226" i="47"/>
  <c r="AN227" i="47"/>
  <c r="AT227" i="47"/>
  <c r="AO227" i="47" s="1"/>
  <c r="AQ228" i="47"/>
  <c r="I261" i="49" l="1"/>
  <c r="D261" i="49"/>
  <c r="E261" i="49" s="1"/>
  <c r="C263" i="49"/>
  <c r="H262" i="49"/>
  <c r="B262" i="49"/>
  <c r="AP227" i="47"/>
  <c r="AT228" i="47"/>
  <c r="AO228" i="47" s="1"/>
  <c r="AQ229" i="47"/>
  <c r="AN228" i="47"/>
  <c r="D262" i="49" l="1"/>
  <c r="E262" i="49" s="1"/>
  <c r="I262" i="49"/>
  <c r="C264" i="49"/>
  <c r="H263" i="49"/>
  <c r="B263" i="49"/>
  <c r="AP228" i="47"/>
  <c r="AT229" i="47"/>
  <c r="AP229" i="47" s="1"/>
  <c r="AQ230" i="47"/>
  <c r="AN229" i="47"/>
  <c r="I263" i="49" l="1"/>
  <c r="D263" i="49"/>
  <c r="E263" i="49" s="1"/>
  <c r="B264" i="49"/>
  <c r="C265" i="49"/>
  <c r="H264" i="49"/>
  <c r="AO229" i="47"/>
  <c r="AT230" i="47"/>
  <c r="AO230" i="47" s="1"/>
  <c r="AQ231" i="47"/>
  <c r="AN230" i="47"/>
  <c r="I264" i="49" l="1"/>
  <c r="D264" i="49"/>
  <c r="E264" i="49" s="1"/>
  <c r="C266" i="49"/>
  <c r="H265" i="49"/>
  <c r="B265" i="49"/>
  <c r="AP230" i="47"/>
  <c r="AT231" i="47"/>
  <c r="AP231" i="47" s="1"/>
  <c r="AQ232" i="47"/>
  <c r="AN231" i="47"/>
  <c r="D265" i="49" l="1"/>
  <c r="E265" i="49" s="1"/>
  <c r="I265" i="49"/>
  <c r="H266" i="49"/>
  <c r="C267" i="49"/>
  <c r="B266" i="49"/>
  <c r="AO231" i="47"/>
  <c r="AT232" i="47"/>
  <c r="AO232" i="47" s="1"/>
  <c r="AQ233" i="47"/>
  <c r="AN232" i="47"/>
  <c r="D266" i="49" l="1"/>
  <c r="E266" i="49" s="1"/>
  <c r="I266" i="49"/>
  <c r="C268" i="49"/>
  <c r="B267" i="49"/>
  <c r="H267" i="49"/>
  <c r="AP232" i="47"/>
  <c r="AT233" i="47"/>
  <c r="AO233" i="47" s="1"/>
  <c r="AQ234" i="47"/>
  <c r="AN233" i="47"/>
  <c r="D267" i="49" l="1"/>
  <c r="E267" i="49" s="1"/>
  <c r="I267" i="49"/>
  <c r="B268" i="49"/>
  <c r="C269" i="49"/>
  <c r="H268" i="49"/>
  <c r="AP233" i="47"/>
  <c r="AN234" i="47"/>
  <c r="AQ235" i="47"/>
  <c r="AT234" i="47"/>
  <c r="AO234" i="47" s="1"/>
  <c r="B269" i="49" l="1"/>
  <c r="H269" i="49"/>
  <c r="C270" i="49"/>
  <c r="I268" i="49"/>
  <c r="D268" i="49"/>
  <c r="E268" i="49" s="1"/>
  <c r="AP234" i="47"/>
  <c r="AN235" i="47"/>
  <c r="AQ236" i="47"/>
  <c r="AT235" i="47"/>
  <c r="AO235" i="47" s="1"/>
  <c r="H270" i="49" l="1"/>
  <c r="C271" i="49"/>
  <c r="B270" i="49"/>
  <c r="I269" i="49"/>
  <c r="D269" i="49"/>
  <c r="E269" i="49" s="1"/>
  <c r="AT236" i="47"/>
  <c r="AO236" i="47" s="1"/>
  <c r="AQ237" i="47"/>
  <c r="AN236" i="47"/>
  <c r="AP235" i="47"/>
  <c r="I270" i="49" l="1"/>
  <c r="D270" i="49"/>
  <c r="E270" i="49" s="1"/>
  <c r="H271" i="49"/>
  <c r="B271" i="49"/>
  <c r="C272" i="49"/>
  <c r="AP236" i="47"/>
  <c r="AT237" i="47"/>
  <c r="AP237" i="47" s="1"/>
  <c r="AQ238" i="47"/>
  <c r="AN237" i="47"/>
  <c r="C273" i="49" l="1"/>
  <c r="H272" i="49"/>
  <c r="B272" i="49"/>
  <c r="I271" i="49"/>
  <c r="D271" i="49"/>
  <c r="E271" i="49" s="1"/>
  <c r="AO237" i="47"/>
  <c r="AT238" i="47"/>
  <c r="AO238" i="47" s="1"/>
  <c r="AQ239" i="47"/>
  <c r="AN238" i="47"/>
  <c r="D272" i="49" l="1"/>
  <c r="E272" i="49" s="1"/>
  <c r="I272" i="49"/>
  <c r="C274" i="49"/>
  <c r="B273" i="49"/>
  <c r="H273" i="49"/>
  <c r="AP238" i="47"/>
  <c r="AQ240" i="47"/>
  <c r="AT239" i="47"/>
  <c r="AP239" i="47" s="1"/>
  <c r="AN239" i="47"/>
  <c r="I273" i="49" l="1"/>
  <c r="D273" i="49"/>
  <c r="E273" i="49" s="1"/>
  <c r="C275" i="49"/>
  <c r="H274" i="49"/>
  <c r="B274" i="49"/>
  <c r="AO239" i="47"/>
  <c r="AT240" i="47"/>
  <c r="AP240" i="47" s="1"/>
  <c r="AQ241" i="47"/>
  <c r="AN240" i="47"/>
  <c r="D274" i="49" l="1"/>
  <c r="E274" i="49" s="1"/>
  <c r="I274" i="49"/>
  <c r="C276" i="49"/>
  <c r="B275" i="49"/>
  <c r="H275" i="49"/>
  <c r="AO240" i="47"/>
  <c r="AQ242" i="47"/>
  <c r="AT241" i="47"/>
  <c r="AO241" i="47" s="1"/>
  <c r="AN241" i="47"/>
  <c r="C277" i="49" l="1"/>
  <c r="B276" i="49"/>
  <c r="H276" i="49"/>
  <c r="D275" i="49"/>
  <c r="E275" i="49" s="1"/>
  <c r="I275" i="49"/>
  <c r="AP241" i="47"/>
  <c r="AN242" i="47"/>
  <c r="AQ243" i="47"/>
  <c r="AT242" i="47"/>
  <c r="AO242" i="47" s="1"/>
  <c r="AP242" i="47"/>
  <c r="D276" i="49" l="1"/>
  <c r="E276" i="49" s="1"/>
  <c r="I276" i="49"/>
  <c r="B277" i="49"/>
  <c r="C278" i="49"/>
  <c r="H277" i="49"/>
  <c r="AN243" i="47"/>
  <c r="AT243" i="47"/>
  <c r="AO243" i="47" s="1"/>
  <c r="AQ244" i="47"/>
  <c r="C279" i="49" l="1"/>
  <c r="H278" i="49"/>
  <c r="B278" i="49"/>
  <c r="D277" i="49"/>
  <c r="E277" i="49" s="1"/>
  <c r="I277" i="49"/>
  <c r="AP243" i="47"/>
  <c r="AQ245" i="47"/>
  <c r="AT244" i="47"/>
  <c r="AO244" i="47" s="1"/>
  <c r="AN244" i="47"/>
  <c r="I278" i="49" l="1"/>
  <c r="D278" i="49"/>
  <c r="E278" i="49" s="1"/>
  <c r="H279" i="49"/>
  <c r="C280" i="49"/>
  <c r="B279" i="49"/>
  <c r="AP244" i="47"/>
  <c r="AT245" i="47"/>
  <c r="AO245" i="47" s="1"/>
  <c r="AQ246" i="47"/>
  <c r="AN245" i="47"/>
  <c r="AP245" i="47"/>
  <c r="B280" i="49" l="1"/>
  <c r="H280" i="49"/>
  <c r="C281" i="49"/>
  <c r="I279" i="49"/>
  <c r="D279" i="49"/>
  <c r="E279" i="49" s="1"/>
  <c r="AT246" i="47"/>
  <c r="AO246" i="47" s="1"/>
  <c r="AP246" i="47"/>
  <c r="AQ247" i="47"/>
  <c r="AN246" i="47"/>
  <c r="C282" i="49" l="1"/>
  <c r="H281" i="49"/>
  <c r="B281" i="49"/>
  <c r="D280" i="49"/>
  <c r="E280" i="49" s="1"/>
  <c r="I280" i="49"/>
  <c r="AT247" i="47"/>
  <c r="AP247" i="47" s="1"/>
  <c r="AQ248" i="47"/>
  <c r="AO247" i="47"/>
  <c r="AN247" i="47"/>
  <c r="I281" i="49" l="1"/>
  <c r="D281" i="49"/>
  <c r="E281" i="49" s="1"/>
  <c r="B282" i="49"/>
  <c r="C283" i="49"/>
  <c r="H282" i="49"/>
  <c r="AQ249" i="47"/>
  <c r="AT248" i="47"/>
  <c r="AO248" i="47" s="1"/>
  <c r="AN248" i="47"/>
  <c r="I282" i="49" l="1"/>
  <c r="D282" i="49"/>
  <c r="E282" i="49" s="1"/>
  <c r="C284" i="49"/>
  <c r="H283" i="49"/>
  <c r="B283" i="49"/>
  <c r="AP248" i="47"/>
  <c r="AT249" i="47"/>
  <c r="AO249" i="47" s="1"/>
  <c r="AQ250" i="47"/>
  <c r="AN249" i="47"/>
  <c r="D283" i="49" l="1"/>
  <c r="E283" i="49" s="1"/>
  <c r="I283" i="49"/>
  <c r="B284" i="49"/>
  <c r="C285" i="49"/>
  <c r="H284" i="49"/>
  <c r="AP249" i="47"/>
  <c r="AN250" i="47"/>
  <c r="AT250" i="47"/>
  <c r="AP250" i="47" s="1"/>
  <c r="AQ251" i="47"/>
  <c r="C286" i="49" l="1"/>
  <c r="B285" i="49"/>
  <c r="H285" i="49"/>
  <c r="D284" i="49"/>
  <c r="E284" i="49" s="1"/>
  <c r="I284" i="49"/>
  <c r="AT251" i="47"/>
  <c r="AP251" i="47" s="1"/>
  <c r="AQ252" i="47"/>
  <c r="AN251" i="47"/>
  <c r="AO250" i="47"/>
  <c r="D285" i="49" l="1"/>
  <c r="E285" i="49" s="1"/>
  <c r="I285" i="49"/>
  <c r="C287" i="49"/>
  <c r="H286" i="49"/>
  <c r="B286" i="49"/>
  <c r="AO251" i="47"/>
  <c r="AT252" i="47"/>
  <c r="AO252" i="47" s="1"/>
  <c r="AQ253" i="47"/>
  <c r="AN252" i="47"/>
  <c r="I286" i="49" l="1"/>
  <c r="D286" i="49"/>
  <c r="E286" i="49" s="1"/>
  <c r="C288" i="49"/>
  <c r="B287" i="49"/>
  <c r="H287" i="49"/>
  <c r="AP252" i="47"/>
  <c r="AT253" i="47"/>
  <c r="AO253" i="47" s="1"/>
  <c r="AQ254" i="47"/>
  <c r="AN253" i="47"/>
  <c r="I287" i="49" l="1"/>
  <c r="D287" i="49"/>
  <c r="E287" i="49" s="1"/>
  <c r="B288" i="49"/>
  <c r="C289" i="49"/>
  <c r="H288" i="49"/>
  <c r="AP253" i="47"/>
  <c r="AT254" i="47"/>
  <c r="AO254" i="47" s="1"/>
  <c r="AQ255" i="47"/>
  <c r="AN254" i="47"/>
  <c r="I288" i="49" l="1"/>
  <c r="D288" i="49"/>
  <c r="E288" i="49" s="1"/>
  <c r="C290" i="49"/>
  <c r="H289" i="49"/>
  <c r="B289" i="49"/>
  <c r="AP254" i="47"/>
  <c r="AT255" i="47"/>
  <c r="AP255" i="47" s="1"/>
  <c r="AQ256" i="47"/>
  <c r="AN255" i="47"/>
  <c r="I289" i="49" l="1"/>
  <c r="D289" i="49"/>
  <c r="E289" i="49" s="1"/>
  <c r="C291" i="49"/>
  <c r="B290" i="49"/>
  <c r="H290" i="49"/>
  <c r="AO255" i="47"/>
  <c r="AT256" i="47"/>
  <c r="AO256" i="47" s="1"/>
  <c r="AQ257" i="47"/>
  <c r="AN256" i="47"/>
  <c r="C292" i="49" l="1"/>
  <c r="B291" i="49"/>
  <c r="H291" i="49"/>
  <c r="I290" i="49"/>
  <c r="D290" i="49"/>
  <c r="E290" i="49" s="1"/>
  <c r="AP256" i="47"/>
  <c r="AT257" i="47"/>
  <c r="AP257" i="47" s="1"/>
  <c r="AQ258" i="47"/>
  <c r="AN257" i="47"/>
  <c r="D291" i="49" l="1"/>
  <c r="E291" i="49" s="1"/>
  <c r="I291" i="49"/>
  <c r="B292" i="49"/>
  <c r="C293" i="49"/>
  <c r="H292" i="49"/>
  <c r="AO257" i="47"/>
  <c r="AT258" i="47"/>
  <c r="AP258" i="47" s="1"/>
  <c r="AQ259" i="47"/>
  <c r="AN258" i="47"/>
  <c r="C294" i="49" l="1"/>
  <c r="H293" i="49"/>
  <c r="B293" i="49"/>
  <c r="I292" i="49"/>
  <c r="D292" i="49"/>
  <c r="E292" i="49" s="1"/>
  <c r="AT259" i="47"/>
  <c r="AO259" i="47" s="1"/>
  <c r="AQ260" i="47"/>
  <c r="AP259" i="47"/>
  <c r="AN259" i="47"/>
  <c r="AO258" i="47"/>
  <c r="D293" i="49" l="1"/>
  <c r="E293" i="49" s="1"/>
  <c r="I293" i="49"/>
  <c r="H294" i="49"/>
  <c r="C295" i="49"/>
  <c r="B294" i="49"/>
  <c r="AT260" i="47"/>
  <c r="AO260" i="47" s="1"/>
  <c r="AQ261" i="47"/>
  <c r="AN260" i="47"/>
  <c r="H295" i="49" l="1"/>
  <c r="C296" i="49"/>
  <c r="B295" i="49"/>
  <c r="D294" i="49"/>
  <c r="E294" i="49" s="1"/>
  <c r="I294" i="49"/>
  <c r="AP260" i="47"/>
  <c r="AT261" i="47"/>
  <c r="AO261" i="47" s="1"/>
  <c r="AQ262" i="47"/>
  <c r="AN261" i="47"/>
  <c r="I295" i="49" l="1"/>
  <c r="D295" i="49"/>
  <c r="E295" i="49" s="1"/>
  <c r="C297" i="49"/>
  <c r="B296" i="49"/>
  <c r="H296" i="49"/>
  <c r="AP261" i="47"/>
  <c r="AT262" i="47"/>
  <c r="AO262" i="47" s="1"/>
  <c r="AQ263" i="47"/>
  <c r="AN262" i="47"/>
  <c r="C298" i="49" l="1"/>
  <c r="B297" i="49"/>
  <c r="H297" i="49"/>
  <c r="D296" i="49"/>
  <c r="E296" i="49" s="1"/>
  <c r="I296" i="49"/>
  <c r="AP262" i="47"/>
  <c r="AT263" i="47"/>
  <c r="AO263" i="47" s="1"/>
  <c r="AQ264" i="47"/>
  <c r="AN263" i="47"/>
  <c r="I297" i="49" l="1"/>
  <c r="D297" i="49"/>
  <c r="E297" i="49" s="1"/>
  <c r="C299" i="49"/>
  <c r="H298" i="49"/>
  <c r="B298" i="49"/>
  <c r="AP263" i="47"/>
  <c r="AQ265" i="47"/>
  <c r="AT264" i="47"/>
  <c r="AO264" i="47" s="1"/>
  <c r="AN264" i="47"/>
  <c r="C300" i="49" l="1"/>
  <c r="B299" i="49"/>
  <c r="H299" i="49"/>
  <c r="D298" i="49"/>
  <c r="E298" i="49" s="1"/>
  <c r="I298" i="49"/>
  <c r="AP264" i="47"/>
  <c r="AT265" i="47"/>
  <c r="AP265" i="47" s="1"/>
  <c r="AQ266" i="47"/>
  <c r="AN265" i="47"/>
  <c r="I299" i="49" l="1"/>
  <c r="D299" i="49"/>
  <c r="E299" i="49" s="1"/>
  <c r="C301" i="49"/>
  <c r="B300" i="49"/>
  <c r="H300" i="49"/>
  <c r="AO265" i="47"/>
  <c r="AN266" i="47"/>
  <c r="AT266" i="47"/>
  <c r="AP266" i="47" s="1"/>
  <c r="AQ267" i="47"/>
  <c r="B301" i="49" l="1"/>
  <c r="C302" i="49"/>
  <c r="H301" i="49"/>
  <c r="D300" i="49"/>
  <c r="E300" i="49" s="1"/>
  <c r="I300" i="49"/>
  <c r="AT267" i="47"/>
  <c r="AO267" i="47" s="1"/>
  <c r="AQ268" i="47"/>
  <c r="AP267" i="47"/>
  <c r="AN267" i="47"/>
  <c r="AO266" i="47"/>
  <c r="B302" i="49" l="1"/>
  <c r="C303" i="49"/>
  <c r="H302" i="49"/>
  <c r="I301" i="49"/>
  <c r="D301" i="49"/>
  <c r="E301" i="49" s="1"/>
  <c r="AT268" i="47"/>
  <c r="AO268" i="47" s="1"/>
  <c r="AQ269" i="47"/>
  <c r="AN268" i="47"/>
  <c r="C304" i="49" l="1"/>
  <c r="H303" i="49"/>
  <c r="B303" i="49"/>
  <c r="I302" i="49"/>
  <c r="D302" i="49"/>
  <c r="E302" i="49" s="1"/>
  <c r="AP268" i="47"/>
  <c r="AT269" i="47"/>
  <c r="AP269" i="47" s="1"/>
  <c r="AQ270" i="47"/>
  <c r="AN269" i="47"/>
  <c r="D303" i="49" l="1"/>
  <c r="E303" i="49" s="1"/>
  <c r="I303" i="49"/>
  <c r="B304" i="49"/>
  <c r="C305" i="49"/>
  <c r="H304" i="49"/>
  <c r="AO269" i="47"/>
  <c r="AT270" i="47"/>
  <c r="AO270" i="47" s="1"/>
  <c r="AQ271" i="47"/>
  <c r="AN270" i="47"/>
  <c r="D304" i="49" l="1"/>
  <c r="E304" i="49" s="1"/>
  <c r="I304" i="49"/>
  <c r="B305" i="49"/>
  <c r="C306" i="49"/>
  <c r="H305" i="49"/>
  <c r="AP270" i="47"/>
  <c r="AT271" i="47"/>
  <c r="AP271" i="47" s="1"/>
  <c r="AQ272" i="47"/>
  <c r="AN271" i="47"/>
  <c r="D305" i="49" l="1"/>
  <c r="E305" i="49" s="1"/>
  <c r="I305" i="49"/>
  <c r="B306" i="49"/>
  <c r="C307" i="49"/>
  <c r="H306" i="49"/>
  <c r="AO271" i="47"/>
  <c r="AQ273" i="47"/>
  <c r="AT272" i="47"/>
  <c r="AO272" i="47" s="1"/>
  <c r="AN272" i="47"/>
  <c r="D306" i="49" l="1"/>
  <c r="E306" i="49" s="1"/>
  <c r="I306" i="49"/>
  <c r="H307" i="49"/>
  <c r="C308" i="49"/>
  <c r="B307" i="49"/>
  <c r="AP272" i="47"/>
  <c r="AT273" i="47"/>
  <c r="AP273" i="47" s="1"/>
  <c r="AQ274" i="47"/>
  <c r="AN273" i="47"/>
  <c r="I307" i="49" l="1"/>
  <c r="D307" i="49"/>
  <c r="E307" i="49" s="1"/>
  <c r="B308" i="49"/>
  <c r="H308" i="49"/>
  <c r="C309" i="49"/>
  <c r="AO273" i="47"/>
  <c r="AN274" i="47"/>
  <c r="AT274" i="47"/>
  <c r="AO274" i="47" s="1"/>
  <c r="AQ275" i="47"/>
  <c r="H309" i="49" l="1"/>
  <c r="C310" i="49"/>
  <c r="B309" i="49"/>
  <c r="I308" i="49"/>
  <c r="D308" i="49"/>
  <c r="E308" i="49" s="1"/>
  <c r="AP274" i="47"/>
  <c r="AT275" i="47"/>
  <c r="AP275" i="47" s="1"/>
  <c r="AQ276" i="47"/>
  <c r="AN275" i="47"/>
  <c r="D309" i="49" l="1"/>
  <c r="E309" i="49" s="1"/>
  <c r="I309" i="49"/>
  <c r="C311" i="49"/>
  <c r="H310" i="49"/>
  <c r="B310" i="49"/>
  <c r="AO275" i="47"/>
  <c r="AT276" i="47"/>
  <c r="AO276" i="47" s="1"/>
  <c r="AQ277" i="47"/>
  <c r="AN276" i="47"/>
  <c r="D310" i="49" l="1"/>
  <c r="E310" i="49" s="1"/>
  <c r="I310" i="49"/>
  <c r="B311" i="49"/>
  <c r="C312" i="49"/>
  <c r="H311" i="49"/>
  <c r="AP276" i="47"/>
  <c r="AT277" i="47"/>
  <c r="AO277" i="47" s="1"/>
  <c r="AQ278" i="47"/>
  <c r="AN277" i="47"/>
  <c r="D311" i="49" l="1"/>
  <c r="E311" i="49" s="1"/>
  <c r="I311" i="49"/>
  <c r="H312" i="49"/>
  <c r="B312" i="49"/>
  <c r="C313" i="49"/>
  <c r="AP277" i="47"/>
  <c r="AT278" i="47"/>
  <c r="AO278" i="47" s="1"/>
  <c r="AQ279" i="47"/>
  <c r="AN278" i="47"/>
  <c r="D312" i="49" l="1"/>
  <c r="E312" i="49" s="1"/>
  <c r="I312" i="49"/>
  <c r="C314" i="49"/>
  <c r="H313" i="49"/>
  <c r="B313" i="49"/>
  <c r="AP278" i="47"/>
  <c r="AT279" i="47"/>
  <c r="AO279" i="47" s="1"/>
  <c r="AQ280" i="47"/>
  <c r="AN279" i="47"/>
  <c r="I313" i="49" l="1"/>
  <c r="D313" i="49"/>
  <c r="E313" i="49" s="1"/>
  <c r="H314" i="49"/>
  <c r="B314" i="49"/>
  <c r="C315" i="49"/>
  <c r="AP279" i="47"/>
  <c r="AQ281" i="47"/>
  <c r="AN280" i="47"/>
  <c r="AT280" i="47"/>
  <c r="AO280" i="47"/>
  <c r="AP280" i="47"/>
  <c r="B315" i="49" l="1"/>
  <c r="H315" i="49"/>
  <c r="C316" i="49"/>
  <c r="I314" i="49"/>
  <c r="D314" i="49"/>
  <c r="E314" i="49" s="1"/>
  <c r="AT281" i="47"/>
  <c r="AO281" i="47" s="1"/>
  <c r="AQ282" i="47"/>
  <c r="AP281" i="47"/>
  <c r="AN281" i="47"/>
  <c r="H316" i="49" l="1"/>
  <c r="B316" i="49"/>
  <c r="C317" i="49"/>
  <c r="D315" i="49"/>
  <c r="E315" i="49" s="1"/>
  <c r="I315" i="49"/>
  <c r="AQ283" i="47"/>
  <c r="AT282" i="47"/>
  <c r="AO282" i="47" s="1"/>
  <c r="AP282" i="47"/>
  <c r="AN282" i="47"/>
  <c r="D316" i="49" l="1"/>
  <c r="E316" i="49" s="1"/>
  <c r="I316" i="49"/>
  <c r="C318" i="49"/>
  <c r="B317" i="49"/>
  <c r="H317" i="49"/>
  <c r="AT283" i="47"/>
  <c r="AO283" i="47" s="1"/>
  <c r="AQ284" i="47"/>
  <c r="AN283" i="47"/>
  <c r="B318" i="49" l="1"/>
  <c r="C319" i="49"/>
  <c r="H318" i="49"/>
  <c r="D317" i="49"/>
  <c r="E317" i="49" s="1"/>
  <c r="I317" i="49"/>
  <c r="AP283" i="47"/>
  <c r="AT284" i="47"/>
  <c r="AO284" i="47" s="1"/>
  <c r="AQ285" i="47"/>
  <c r="AN284" i="47"/>
  <c r="C320" i="49" l="1"/>
  <c r="H319" i="49"/>
  <c r="B319" i="49"/>
  <c r="D318" i="49"/>
  <c r="E318" i="49" s="1"/>
  <c r="I318" i="49"/>
  <c r="AP284" i="47"/>
  <c r="AQ286" i="47"/>
  <c r="AN285" i="47"/>
  <c r="AT285" i="47"/>
  <c r="AO285" i="47" s="1"/>
  <c r="D319" i="49" l="1"/>
  <c r="E319" i="49" s="1"/>
  <c r="I319" i="49"/>
  <c r="C321" i="49"/>
  <c r="B320" i="49"/>
  <c r="H320" i="49"/>
  <c r="AP285" i="47"/>
  <c r="AT286" i="47"/>
  <c r="AP286" i="47" s="1"/>
  <c r="AQ287" i="47"/>
  <c r="AN286" i="47"/>
  <c r="H321" i="49" l="1"/>
  <c r="B321" i="49"/>
  <c r="C322" i="49"/>
  <c r="D320" i="49"/>
  <c r="E320" i="49" s="1"/>
  <c r="I320" i="49"/>
  <c r="AO286" i="47"/>
  <c r="AT287" i="47"/>
  <c r="AO287" i="47" s="1"/>
  <c r="AQ288" i="47"/>
  <c r="AN287" i="47"/>
  <c r="I321" i="49" l="1"/>
  <c r="D321" i="49"/>
  <c r="E321" i="49" s="1"/>
  <c r="C323" i="49"/>
  <c r="H322" i="49"/>
  <c r="B322" i="49"/>
  <c r="AP287" i="47"/>
  <c r="AT288" i="47"/>
  <c r="AP288" i="47" s="1"/>
  <c r="AQ289" i="47"/>
  <c r="AN288" i="47"/>
  <c r="I322" i="49" l="1"/>
  <c r="D322" i="49"/>
  <c r="E322" i="49" s="1"/>
  <c r="B323" i="49"/>
  <c r="C324" i="49"/>
  <c r="H323" i="49"/>
  <c r="AO288" i="47"/>
  <c r="AT289" i="47"/>
  <c r="AO289" i="47" s="1"/>
  <c r="AQ290" i="47"/>
  <c r="AN289" i="47"/>
  <c r="H324" i="49" l="1"/>
  <c r="B324" i="49"/>
  <c r="C325" i="49"/>
  <c r="D323" i="49"/>
  <c r="E323" i="49" s="1"/>
  <c r="I323" i="49"/>
  <c r="AP289" i="47"/>
  <c r="AT290" i="47"/>
  <c r="AP290" i="47" s="1"/>
  <c r="AQ291" i="47"/>
  <c r="AN290" i="47"/>
  <c r="I324" i="49" l="1"/>
  <c r="D324" i="49"/>
  <c r="E324" i="49" s="1"/>
  <c r="C326" i="49"/>
  <c r="H325" i="49"/>
  <c r="B325" i="49"/>
  <c r="AO290" i="47"/>
  <c r="AT291" i="47"/>
  <c r="AO291" i="47" s="1"/>
  <c r="AQ292" i="47"/>
  <c r="AN291" i="47"/>
  <c r="D325" i="49" l="1"/>
  <c r="E325" i="49" s="1"/>
  <c r="I325" i="49"/>
  <c r="B326" i="49"/>
  <c r="H326" i="49"/>
  <c r="C327" i="49"/>
  <c r="AP291" i="47"/>
  <c r="AT292" i="47"/>
  <c r="AO292" i="47" s="1"/>
  <c r="AQ293" i="47"/>
  <c r="AN292" i="47"/>
  <c r="C328" i="49" l="1"/>
  <c r="B327" i="49"/>
  <c r="H327" i="49"/>
  <c r="D326" i="49"/>
  <c r="E326" i="49" s="1"/>
  <c r="I326" i="49"/>
  <c r="AP292" i="47"/>
  <c r="AT293" i="47"/>
  <c r="AP293" i="47" s="1"/>
  <c r="AQ294" i="47"/>
  <c r="AN293" i="47"/>
  <c r="I327" i="49" l="1"/>
  <c r="D327" i="49"/>
  <c r="E327" i="49" s="1"/>
  <c r="H328" i="49"/>
  <c r="B328" i="49"/>
  <c r="C329" i="49"/>
  <c r="AO293" i="47"/>
  <c r="AT294" i="47"/>
  <c r="AO294" i="47" s="1"/>
  <c r="AP294" i="47"/>
  <c r="AQ295" i="47"/>
  <c r="AN294" i="47"/>
  <c r="B329" i="49" l="1"/>
  <c r="H329" i="49"/>
  <c r="C330" i="49"/>
  <c r="D328" i="49"/>
  <c r="E328" i="49" s="1"/>
  <c r="I328" i="49"/>
  <c r="AT295" i="47"/>
  <c r="AO295" i="47" s="1"/>
  <c r="AQ296" i="47"/>
  <c r="AN295" i="47"/>
  <c r="H330" i="49" l="1"/>
  <c r="C331" i="49"/>
  <c r="B330" i="49"/>
  <c r="I329" i="49"/>
  <c r="D329" i="49"/>
  <c r="E329" i="49" s="1"/>
  <c r="AP295" i="47"/>
  <c r="AT296" i="47"/>
  <c r="AP296" i="47" s="1"/>
  <c r="AQ297" i="47"/>
  <c r="AN296" i="47"/>
  <c r="I330" i="49" l="1"/>
  <c r="D330" i="49"/>
  <c r="E330" i="49" s="1"/>
  <c r="C332" i="49"/>
  <c r="H331" i="49"/>
  <c r="B331" i="49"/>
  <c r="AO296" i="47"/>
  <c r="AQ298" i="47"/>
  <c r="AT297" i="47"/>
  <c r="AO297" i="47" s="1"/>
  <c r="AN297" i="47"/>
  <c r="I331" i="49" l="1"/>
  <c r="D331" i="49"/>
  <c r="E331" i="49" s="1"/>
  <c r="C333" i="49"/>
  <c r="B332" i="49"/>
  <c r="H332" i="49"/>
  <c r="AP297" i="47"/>
  <c r="AQ299" i="47"/>
  <c r="AT298" i="47"/>
  <c r="AO298" i="47" s="1"/>
  <c r="AN298" i="47"/>
  <c r="D332" i="49" l="1"/>
  <c r="E332" i="49" s="1"/>
  <c r="I332" i="49"/>
  <c r="B333" i="49"/>
  <c r="C334" i="49"/>
  <c r="H333" i="49"/>
  <c r="AP298" i="47"/>
  <c r="AQ300" i="47"/>
  <c r="AT299" i="47"/>
  <c r="AO299" i="47" s="1"/>
  <c r="AN299" i="47"/>
  <c r="B334" i="49" l="1"/>
  <c r="H334" i="49"/>
  <c r="C335" i="49"/>
  <c r="D333" i="49"/>
  <c r="E333" i="49" s="1"/>
  <c r="I333" i="49"/>
  <c r="AP299" i="47"/>
  <c r="AT300" i="47"/>
  <c r="AO300" i="47" s="1"/>
  <c r="AQ301" i="47"/>
  <c r="AN300" i="47"/>
  <c r="H335" i="49" l="1"/>
  <c r="C336" i="49"/>
  <c r="B335" i="49"/>
  <c r="I334" i="49"/>
  <c r="D334" i="49"/>
  <c r="E334" i="49" s="1"/>
  <c r="AP300" i="47"/>
  <c r="AN301" i="47"/>
  <c r="AT301" i="47"/>
  <c r="AP301" i="47" s="1"/>
  <c r="AQ302" i="47"/>
  <c r="D335" i="49" l="1"/>
  <c r="E335" i="49" s="1"/>
  <c r="I335" i="49"/>
  <c r="H336" i="49"/>
  <c r="B336" i="49"/>
  <c r="C337" i="49"/>
  <c r="AT302" i="47"/>
  <c r="AO302" i="47" s="1"/>
  <c r="AQ303" i="47"/>
  <c r="AP302" i="47"/>
  <c r="AN302" i="47"/>
  <c r="AO301" i="47"/>
  <c r="I336" i="49" l="1"/>
  <c r="D336" i="49"/>
  <c r="E336" i="49" s="1"/>
  <c r="B337" i="49"/>
  <c r="C338" i="49"/>
  <c r="H337" i="49"/>
  <c r="AN303" i="47"/>
  <c r="AQ304" i="47"/>
  <c r="AT303" i="47"/>
  <c r="AO303" i="47" s="1"/>
  <c r="H338" i="49" l="1"/>
  <c r="B338" i="49"/>
  <c r="C339" i="49"/>
  <c r="D337" i="49"/>
  <c r="E337" i="49" s="1"/>
  <c r="I337" i="49"/>
  <c r="AP303" i="47"/>
  <c r="AT304" i="47"/>
  <c r="AP304" i="47" s="1"/>
  <c r="AQ305" i="47"/>
  <c r="AN304" i="47"/>
  <c r="H339" i="49" l="1"/>
  <c r="C340" i="49"/>
  <c r="B339" i="49"/>
  <c r="D338" i="49"/>
  <c r="E338" i="49" s="1"/>
  <c r="I338" i="49"/>
  <c r="AO304" i="47"/>
  <c r="AQ306" i="47"/>
  <c r="AT305" i="47"/>
  <c r="AP305" i="47" s="1"/>
  <c r="AN305" i="47"/>
  <c r="C341" i="49" l="1"/>
  <c r="H340" i="49"/>
  <c r="B340" i="49"/>
  <c r="I339" i="49"/>
  <c r="D339" i="49"/>
  <c r="E339" i="49" s="1"/>
  <c r="AO305" i="47"/>
  <c r="AQ307" i="47"/>
  <c r="AT306" i="47"/>
  <c r="AO306" i="47" s="1"/>
  <c r="AN306" i="47"/>
  <c r="I340" i="49" l="1"/>
  <c r="D340" i="49"/>
  <c r="E340" i="49" s="1"/>
  <c r="C342" i="49"/>
  <c r="B341" i="49"/>
  <c r="H341" i="49"/>
  <c r="AP306" i="47"/>
  <c r="AN307" i="47"/>
  <c r="AQ308" i="47"/>
  <c r="AT307" i="47"/>
  <c r="AP307" i="47"/>
  <c r="AO307" i="47"/>
  <c r="I341" i="49" l="1"/>
  <c r="D341" i="49"/>
  <c r="E341" i="49" s="1"/>
  <c r="C343" i="49"/>
  <c r="B342" i="49"/>
  <c r="H342" i="49"/>
  <c r="AT308" i="47"/>
  <c r="AP308" i="47" s="1"/>
  <c r="AQ309" i="47"/>
  <c r="AN308" i="47"/>
  <c r="AO308" i="47"/>
  <c r="D342" i="49" l="1"/>
  <c r="E342" i="49" s="1"/>
  <c r="I342" i="49"/>
  <c r="B343" i="49"/>
  <c r="C344" i="49"/>
  <c r="H343" i="49"/>
  <c r="AQ310" i="47"/>
  <c r="AT309" i="47"/>
  <c r="AO309" i="47" s="1"/>
  <c r="AP309" i="47"/>
  <c r="AN309" i="47"/>
  <c r="H344" i="49" l="1"/>
  <c r="C345" i="49"/>
  <c r="B344" i="49"/>
  <c r="D343" i="49"/>
  <c r="E343" i="49" s="1"/>
  <c r="I343" i="49"/>
  <c r="AT310" i="47"/>
  <c r="AO310" i="47"/>
  <c r="AP310" i="47"/>
  <c r="AQ311" i="47"/>
  <c r="AN310" i="47"/>
  <c r="I344" i="49" l="1"/>
  <c r="D344" i="49"/>
  <c r="E344" i="49" s="1"/>
  <c r="H345" i="49"/>
  <c r="B345" i="49"/>
  <c r="C346" i="49"/>
  <c r="AT311" i="47"/>
  <c r="AP311" i="47" s="1"/>
  <c r="AN311" i="47"/>
  <c r="AO311" i="47"/>
  <c r="AQ312" i="47"/>
  <c r="I345" i="49" l="1"/>
  <c r="D345" i="49"/>
  <c r="E345" i="49" s="1"/>
  <c r="C347" i="49"/>
  <c r="H346" i="49"/>
  <c r="B346" i="49"/>
  <c r="AQ313" i="47"/>
  <c r="AT312" i="47"/>
  <c r="AP312" i="47" s="1"/>
  <c r="AO312" i="47"/>
  <c r="AN312" i="47"/>
  <c r="I346" i="49" l="1"/>
  <c r="D346" i="49"/>
  <c r="E346" i="49" s="1"/>
  <c r="C348" i="49"/>
  <c r="H347" i="49"/>
  <c r="B347" i="49"/>
  <c r="AQ314" i="47"/>
  <c r="AT313" i="47"/>
  <c r="AO313" i="47" s="1"/>
  <c r="AN313" i="47"/>
  <c r="I347" i="49" l="1"/>
  <c r="D347" i="49"/>
  <c r="E347" i="49" s="1"/>
  <c r="B348" i="49"/>
  <c r="H348" i="49"/>
  <c r="C349" i="49"/>
  <c r="AP313" i="47"/>
  <c r="AQ315" i="47"/>
  <c r="AT314" i="47"/>
  <c r="AP314" i="47" s="1"/>
  <c r="AN314" i="47"/>
  <c r="B349" i="49" l="1"/>
  <c r="C350" i="49"/>
  <c r="H349" i="49"/>
  <c r="D348" i="49"/>
  <c r="E348" i="49" s="1"/>
  <c r="I348" i="49"/>
  <c r="AO314" i="47"/>
  <c r="AT315" i="47"/>
  <c r="AO315" i="47" s="1"/>
  <c r="AQ316" i="47"/>
  <c r="AN315" i="47"/>
  <c r="H350" i="49" l="1"/>
  <c r="C351" i="49"/>
  <c r="B350" i="49"/>
  <c r="D349" i="49"/>
  <c r="E349" i="49" s="1"/>
  <c r="I349" i="49"/>
  <c r="AP315" i="47"/>
  <c r="AT316" i="47"/>
  <c r="AO316" i="47" s="1"/>
  <c r="AQ317" i="47"/>
  <c r="AN316" i="47"/>
  <c r="D350" i="49" l="1"/>
  <c r="E350" i="49" s="1"/>
  <c r="I350" i="49"/>
  <c r="H351" i="49"/>
  <c r="C352" i="49"/>
  <c r="B351" i="49"/>
  <c r="AP316" i="47"/>
  <c r="AT317" i="47"/>
  <c r="AO317" i="47" s="1"/>
  <c r="AQ318" i="47"/>
  <c r="AN317" i="47"/>
  <c r="D351" i="49" l="1"/>
  <c r="E351" i="49" s="1"/>
  <c r="I351" i="49"/>
  <c r="C353" i="49"/>
  <c r="H352" i="49"/>
  <c r="B352" i="49"/>
  <c r="AP317" i="47"/>
  <c r="AN318" i="47"/>
  <c r="AT318" i="47"/>
  <c r="AP318" i="47" s="1"/>
  <c r="AQ319" i="47"/>
  <c r="D352" i="49" l="1"/>
  <c r="E352" i="49" s="1"/>
  <c r="I352" i="49"/>
  <c r="H353" i="49"/>
  <c r="B353" i="49"/>
  <c r="C354" i="49"/>
  <c r="AO318" i="47"/>
  <c r="AT319" i="47"/>
  <c r="AO319" i="47" s="1"/>
  <c r="AQ320" i="47"/>
  <c r="AN319" i="47"/>
  <c r="H354" i="49" l="1"/>
  <c r="B354" i="49"/>
  <c r="C355" i="49"/>
  <c r="I353" i="49"/>
  <c r="D353" i="49"/>
  <c r="E353" i="49" s="1"/>
  <c r="AP319" i="47"/>
  <c r="AT320" i="47"/>
  <c r="AO320" i="47" s="1"/>
  <c r="AQ321" i="47"/>
  <c r="AN320" i="47"/>
  <c r="C356" i="49" l="1"/>
  <c r="H355" i="49"/>
  <c r="B355" i="49"/>
  <c r="D354" i="49"/>
  <c r="E354" i="49" s="1"/>
  <c r="I354" i="49"/>
  <c r="AP320" i="47"/>
  <c r="AT321" i="47"/>
  <c r="AO321" i="47" s="1"/>
  <c r="AQ322" i="47"/>
  <c r="AN321" i="47"/>
  <c r="D355" i="49" l="1"/>
  <c r="E355" i="49" s="1"/>
  <c r="I355" i="49"/>
  <c r="C357" i="49"/>
  <c r="H356" i="49"/>
  <c r="B356" i="49"/>
  <c r="AP321" i="47"/>
  <c r="AT322" i="47"/>
  <c r="AO322" i="47" s="1"/>
  <c r="AQ323" i="47"/>
  <c r="AN322" i="47"/>
  <c r="D356" i="49" l="1"/>
  <c r="E356" i="49" s="1"/>
  <c r="I356" i="49"/>
  <c r="C358" i="49"/>
  <c r="B357" i="49"/>
  <c r="H357" i="49"/>
  <c r="AP322" i="47"/>
  <c r="AT323" i="47"/>
  <c r="AO323" i="47" s="1"/>
  <c r="AQ324" i="47"/>
  <c r="AN323" i="47"/>
  <c r="C359" i="49" l="1"/>
  <c r="H358" i="49"/>
  <c r="B358" i="49"/>
  <c r="I357" i="49"/>
  <c r="D357" i="49"/>
  <c r="E357" i="49" s="1"/>
  <c r="AP323" i="47"/>
  <c r="AT324" i="47"/>
  <c r="AO324" i="47" s="1"/>
  <c r="AQ325" i="47"/>
  <c r="AN324" i="47"/>
  <c r="D358" i="49" l="1"/>
  <c r="E358" i="49" s="1"/>
  <c r="I358" i="49"/>
  <c r="H359" i="49"/>
  <c r="B359" i="49"/>
  <c r="C360" i="49"/>
  <c r="AP324" i="47"/>
  <c r="AT325" i="47"/>
  <c r="AO325" i="47" s="1"/>
  <c r="AQ326" i="47"/>
  <c r="AN325" i="47"/>
  <c r="C361" i="49" l="1"/>
  <c r="H360" i="49"/>
  <c r="B360" i="49"/>
  <c r="D359" i="49"/>
  <c r="E359" i="49" s="1"/>
  <c r="I359" i="49"/>
  <c r="AP325" i="47"/>
  <c r="AN326" i="47"/>
  <c r="AT326" i="47"/>
  <c r="AP326" i="47" s="1"/>
  <c r="AQ327" i="47"/>
  <c r="D360" i="49" l="1"/>
  <c r="E360" i="49" s="1"/>
  <c r="I360" i="49"/>
  <c r="C362" i="49"/>
  <c r="B361" i="49"/>
  <c r="H361" i="49"/>
  <c r="AO326" i="47"/>
  <c r="AT327" i="47"/>
  <c r="AO327" i="47" s="1"/>
  <c r="AQ328" i="47"/>
  <c r="AN327" i="47"/>
  <c r="D361" i="49" l="1"/>
  <c r="E361" i="49" s="1"/>
  <c r="I361" i="49"/>
  <c r="C363" i="49"/>
  <c r="H362" i="49"/>
  <c r="B362" i="49"/>
  <c r="AP327" i="47"/>
  <c r="AT328" i="47"/>
  <c r="AP328" i="47" s="1"/>
  <c r="AQ329" i="47"/>
  <c r="AN328" i="47"/>
  <c r="AO328" i="47"/>
  <c r="D362" i="49" l="1"/>
  <c r="E362" i="49" s="1"/>
  <c r="I362" i="49"/>
  <c r="B363" i="49"/>
  <c r="C364" i="49"/>
  <c r="H363" i="49"/>
  <c r="AT329" i="47"/>
  <c r="AP329" i="47" s="1"/>
  <c r="AQ330" i="47"/>
  <c r="AO329" i="47"/>
  <c r="AN329" i="47"/>
  <c r="C365" i="49" l="1"/>
  <c r="H364" i="49"/>
  <c r="B364" i="49"/>
  <c r="I363" i="49"/>
  <c r="D363" i="49"/>
  <c r="E363" i="49" s="1"/>
  <c r="AT330" i="47"/>
  <c r="AP330" i="47" s="1"/>
  <c r="AQ331" i="47"/>
  <c r="AO330" i="47"/>
  <c r="AN330" i="47"/>
  <c r="I364" i="49" l="1"/>
  <c r="D364" i="49"/>
  <c r="E364" i="49" s="1"/>
  <c r="H365" i="49"/>
  <c r="B365" i="49"/>
  <c r="C366" i="49"/>
  <c r="AT331" i="47"/>
  <c r="AO331" i="47" s="1"/>
  <c r="AQ332" i="47"/>
  <c r="AN331" i="47"/>
  <c r="I365" i="49" l="1"/>
  <c r="D365" i="49"/>
  <c r="E365" i="49" s="1"/>
  <c r="C367" i="49"/>
  <c r="B366" i="49"/>
  <c r="H366" i="49"/>
  <c r="AP331" i="47"/>
  <c r="AT332" i="47"/>
  <c r="AO332" i="47" s="1"/>
  <c r="AQ333" i="47"/>
  <c r="AN332" i="47"/>
  <c r="C368" i="49" l="1"/>
  <c r="H367" i="49"/>
  <c r="B367" i="49"/>
  <c r="I366" i="49"/>
  <c r="D366" i="49"/>
  <c r="E366" i="49" s="1"/>
  <c r="AP332" i="47"/>
  <c r="AT333" i="47"/>
  <c r="AP333" i="47" s="1"/>
  <c r="AQ334" i="47"/>
  <c r="AN333" i="47"/>
  <c r="D367" i="49" l="1"/>
  <c r="E367" i="49" s="1"/>
  <c r="I367" i="49"/>
  <c r="H368" i="49"/>
  <c r="C369" i="49"/>
  <c r="B368" i="49"/>
  <c r="AO333" i="47"/>
  <c r="AQ335" i="47"/>
  <c r="AT334" i="47"/>
  <c r="AP334" i="47" s="1"/>
  <c r="AN334" i="47"/>
  <c r="I368" i="49" l="1"/>
  <c r="D368" i="49"/>
  <c r="E368" i="49" s="1"/>
  <c r="B369" i="49"/>
  <c r="C370" i="49"/>
  <c r="H369" i="49"/>
  <c r="AO334" i="47"/>
  <c r="AT335" i="47"/>
  <c r="AP335" i="47" s="1"/>
  <c r="AQ336" i="47"/>
  <c r="AN335" i="47"/>
  <c r="I369" i="49" l="1"/>
  <c r="D369" i="49"/>
  <c r="E369" i="49" s="1"/>
  <c r="B370" i="49"/>
  <c r="H370" i="49"/>
  <c r="C371" i="49"/>
  <c r="AO335" i="47"/>
  <c r="AN336" i="47"/>
  <c r="AT336" i="47"/>
  <c r="AP336" i="47" s="1"/>
  <c r="AQ337" i="47"/>
  <c r="C372" i="49" l="1"/>
  <c r="B371" i="49"/>
  <c r="H371" i="49"/>
  <c r="D370" i="49"/>
  <c r="E370" i="49" s="1"/>
  <c r="I370" i="49"/>
  <c r="AO336" i="47"/>
  <c r="AT337" i="47"/>
  <c r="AO337" i="47" s="1"/>
  <c r="AQ338" i="47"/>
  <c r="AN337" i="47"/>
  <c r="D371" i="49" l="1"/>
  <c r="E371" i="49" s="1"/>
  <c r="I371" i="49"/>
  <c r="C373" i="49"/>
  <c r="B372" i="49"/>
  <c r="H372" i="49"/>
  <c r="AP337" i="47"/>
  <c r="AT338" i="47"/>
  <c r="AO338" i="47" s="1"/>
  <c r="AQ339" i="47"/>
  <c r="AN338" i="47"/>
  <c r="D372" i="49" l="1"/>
  <c r="E372" i="49" s="1"/>
  <c r="I372" i="49"/>
  <c r="H373" i="49"/>
  <c r="B373" i="49"/>
  <c r="C374" i="49"/>
  <c r="AP338" i="47"/>
  <c r="AT339" i="47"/>
  <c r="AP339" i="47" s="1"/>
  <c r="AQ340" i="47"/>
  <c r="AN339" i="47"/>
  <c r="I373" i="49" l="1"/>
  <c r="D373" i="49"/>
  <c r="E373" i="49" s="1"/>
  <c r="H374" i="49"/>
  <c r="C375" i="49"/>
  <c r="B374" i="49"/>
  <c r="AO339" i="47"/>
  <c r="AT340" i="47"/>
  <c r="AO340" i="47" s="1"/>
  <c r="AQ341" i="47"/>
  <c r="AN340" i="47"/>
  <c r="D374" i="49" l="1"/>
  <c r="E374" i="49" s="1"/>
  <c r="I374" i="49"/>
  <c r="H375" i="49"/>
  <c r="B375" i="49"/>
  <c r="C376" i="49"/>
  <c r="AP340" i="47"/>
  <c r="AT341" i="47"/>
  <c r="AO341" i="47" s="1"/>
  <c r="AQ342" i="47"/>
  <c r="AN341" i="47"/>
  <c r="C377" i="49" l="1"/>
  <c r="B376" i="49"/>
  <c r="H376" i="49"/>
  <c r="D375" i="49"/>
  <c r="E375" i="49" s="1"/>
  <c r="I375" i="49"/>
  <c r="AP341" i="47"/>
  <c r="AT342" i="47"/>
  <c r="AP342" i="47" s="1"/>
  <c r="AQ343" i="47"/>
  <c r="AN342" i="47"/>
  <c r="D376" i="49" l="1"/>
  <c r="E376" i="49" s="1"/>
  <c r="I376" i="49"/>
  <c r="C378" i="49"/>
  <c r="B377" i="49"/>
  <c r="H377" i="49"/>
  <c r="AO342" i="47"/>
  <c r="AT343" i="47"/>
  <c r="AO343" i="47" s="1"/>
  <c r="AQ344" i="47"/>
  <c r="AN343" i="47"/>
  <c r="I377" i="49" l="1"/>
  <c r="D377" i="49"/>
  <c r="E377" i="49" s="1"/>
  <c r="H378" i="49"/>
  <c r="C379" i="49"/>
  <c r="B378" i="49"/>
  <c r="AP343" i="47"/>
  <c r="AQ345" i="47"/>
  <c r="AT344" i="47"/>
  <c r="AO344" i="47" s="1"/>
  <c r="AN344" i="47"/>
  <c r="I378" i="49" l="1"/>
  <c r="D378" i="49"/>
  <c r="E378" i="49" s="1"/>
  <c r="C380" i="49"/>
  <c r="B379" i="49"/>
  <c r="H379" i="49"/>
  <c r="AP344" i="47"/>
  <c r="AT345" i="47"/>
  <c r="AO345" i="47" s="1"/>
  <c r="AQ346" i="47"/>
  <c r="AN345" i="47"/>
  <c r="C381" i="49" l="1"/>
  <c r="B380" i="49"/>
  <c r="H380" i="49"/>
  <c r="D379" i="49"/>
  <c r="E379" i="49" s="1"/>
  <c r="I379" i="49"/>
  <c r="AP345" i="47"/>
  <c r="AT346" i="47"/>
  <c r="AO346" i="47" s="1"/>
  <c r="AQ347" i="47"/>
  <c r="AN346" i="47"/>
  <c r="D380" i="49" l="1"/>
  <c r="E380" i="49" s="1"/>
  <c r="I380" i="49"/>
  <c r="H381" i="49"/>
  <c r="C382" i="49"/>
  <c r="B381" i="49"/>
  <c r="AP346" i="47"/>
  <c r="AQ348" i="47"/>
  <c r="AT347" i="47"/>
  <c r="AO347" i="47" s="1"/>
  <c r="AN347" i="47"/>
  <c r="D381" i="49" l="1"/>
  <c r="E381" i="49" s="1"/>
  <c r="I381" i="49"/>
  <c r="C383" i="49"/>
  <c r="B382" i="49"/>
  <c r="H382" i="49"/>
  <c r="AP347" i="47"/>
  <c r="AT348" i="47"/>
  <c r="AO348" i="47" s="1"/>
  <c r="AQ349" i="47"/>
  <c r="AN348" i="47"/>
  <c r="C384" i="49" l="1"/>
  <c r="B383" i="49"/>
  <c r="H383" i="49"/>
  <c r="D382" i="49"/>
  <c r="E382" i="49" s="1"/>
  <c r="I382" i="49"/>
  <c r="AP348" i="47"/>
  <c r="AT349" i="47"/>
  <c r="AO349" i="47" s="1"/>
  <c r="AQ350" i="47"/>
  <c r="AN349" i="47"/>
  <c r="D383" i="49" l="1"/>
  <c r="E383" i="49" s="1"/>
  <c r="I383" i="49"/>
  <c r="C385" i="49"/>
  <c r="B384" i="49"/>
  <c r="H384" i="49"/>
  <c r="AP349" i="47"/>
  <c r="AT350" i="47"/>
  <c r="AO350" i="47" s="1"/>
  <c r="AQ351" i="47"/>
  <c r="AN350" i="47"/>
  <c r="D384" i="49" l="1"/>
  <c r="E384" i="49" s="1"/>
  <c r="I384" i="49"/>
  <c r="C386" i="49"/>
  <c r="B385" i="49"/>
  <c r="H385" i="49"/>
  <c r="AP350" i="47"/>
  <c r="AT351" i="47"/>
  <c r="AP351" i="47" s="1"/>
  <c r="AQ352" i="47"/>
  <c r="AN351" i="47"/>
  <c r="H386" i="49" l="1"/>
  <c r="C387" i="49"/>
  <c r="B386" i="49"/>
  <c r="D385" i="49"/>
  <c r="E385" i="49" s="1"/>
  <c r="I385" i="49"/>
  <c r="AO351" i="47"/>
  <c r="AT352" i="47"/>
  <c r="AO352" i="47" s="1"/>
  <c r="AQ353" i="47"/>
  <c r="AN352" i="47"/>
  <c r="I386" i="49" l="1"/>
  <c r="D386" i="49"/>
  <c r="E386" i="49" s="1"/>
  <c r="C388" i="49"/>
  <c r="B387" i="49"/>
  <c r="H387" i="49"/>
  <c r="AP352" i="47"/>
  <c r="AT353" i="47"/>
  <c r="AP353" i="47" s="1"/>
  <c r="AO353" i="47"/>
  <c r="AQ354" i="47"/>
  <c r="AN353" i="47"/>
  <c r="D387" i="49" l="1"/>
  <c r="E387" i="49" s="1"/>
  <c r="I387" i="49"/>
  <c r="C389" i="49"/>
  <c r="B388" i="49"/>
  <c r="H388" i="49"/>
  <c r="AQ355" i="47"/>
  <c r="AN354" i="47"/>
  <c r="AT354" i="47"/>
  <c r="AO354" i="47" s="1"/>
  <c r="I388" i="49" l="1"/>
  <c r="D388" i="49"/>
  <c r="E388" i="49" s="1"/>
  <c r="C390" i="49"/>
  <c r="H389" i="49"/>
  <c r="B389" i="49"/>
  <c r="AP354" i="47"/>
  <c r="AT355" i="47"/>
  <c r="AO355" i="47" s="1"/>
  <c r="AQ356" i="47"/>
  <c r="AN355" i="47"/>
  <c r="D389" i="49" l="1"/>
  <c r="E389" i="49" s="1"/>
  <c r="I389" i="49"/>
  <c r="H390" i="49"/>
  <c r="C391" i="49"/>
  <c r="B390" i="49"/>
  <c r="AP355" i="47"/>
  <c r="AT356" i="47"/>
  <c r="AO356" i="47" s="1"/>
  <c r="AQ357" i="47"/>
  <c r="AN356" i="47"/>
  <c r="C392" i="49" l="1"/>
  <c r="B391" i="49"/>
  <c r="H391" i="49"/>
  <c r="D390" i="49"/>
  <c r="E390" i="49" s="1"/>
  <c r="I390" i="49"/>
  <c r="AP356" i="47"/>
  <c r="AT357" i="47"/>
  <c r="AO357" i="47" s="1"/>
  <c r="AQ358" i="47"/>
  <c r="AN357" i="47"/>
  <c r="I391" i="49" l="1"/>
  <c r="D391" i="49"/>
  <c r="E391" i="49" s="1"/>
  <c r="C393" i="49"/>
  <c r="B392" i="49"/>
  <c r="H392" i="49"/>
  <c r="AP357" i="47"/>
  <c r="AT358" i="47"/>
  <c r="AP358" i="47" s="1"/>
  <c r="AQ359" i="47"/>
  <c r="AN358" i="47"/>
  <c r="I392" i="49" l="1"/>
  <c r="D392" i="49"/>
  <c r="E392" i="49" s="1"/>
  <c r="H393" i="49"/>
  <c r="C394" i="49"/>
  <c r="B393" i="49"/>
  <c r="AO358" i="47"/>
  <c r="AT359" i="47"/>
  <c r="AO359" i="47" s="1"/>
  <c r="AQ360" i="47"/>
  <c r="AN359" i="47"/>
  <c r="D393" i="49" l="1"/>
  <c r="E393" i="49" s="1"/>
  <c r="I393" i="49"/>
  <c r="C395" i="49"/>
  <c r="B394" i="49"/>
  <c r="H394" i="49"/>
  <c r="AP359" i="47"/>
  <c r="AQ361" i="47"/>
  <c r="AT360" i="47"/>
  <c r="AO360" i="47" s="1"/>
  <c r="AN360" i="47"/>
  <c r="C396" i="49" l="1"/>
  <c r="B395" i="49"/>
  <c r="H395" i="49"/>
  <c r="D394" i="49"/>
  <c r="E394" i="49" s="1"/>
  <c r="I394" i="49"/>
  <c r="AP360" i="47"/>
  <c r="AQ362" i="47"/>
  <c r="AT361" i="47"/>
  <c r="AO361" i="47" s="1"/>
  <c r="AN361" i="47"/>
  <c r="D395" i="49" l="1"/>
  <c r="E395" i="49" s="1"/>
  <c r="I395" i="49"/>
  <c r="H396" i="49"/>
  <c r="C397" i="49"/>
  <c r="B396" i="49"/>
  <c r="AP361" i="47"/>
  <c r="AQ363" i="47"/>
  <c r="AT362" i="47"/>
  <c r="AO362" i="47" s="1"/>
  <c r="AN362" i="47"/>
  <c r="C398" i="49" l="1"/>
  <c r="H397" i="49"/>
  <c r="B397" i="49"/>
  <c r="D396" i="49"/>
  <c r="E396" i="49" s="1"/>
  <c r="I396" i="49"/>
  <c r="AQ364" i="47"/>
  <c r="AT363" i="47"/>
  <c r="AO363" i="47" s="1"/>
  <c r="AN363" i="47"/>
  <c r="AP362" i="47"/>
  <c r="D397" i="49" l="1"/>
  <c r="E397" i="49" s="1"/>
  <c r="I397" i="49"/>
  <c r="C399" i="49"/>
  <c r="B398" i="49"/>
  <c r="H398" i="49"/>
  <c r="AP363" i="47"/>
  <c r="AQ365" i="47"/>
  <c r="AT364" i="47"/>
  <c r="AO364" i="47" s="1"/>
  <c r="AN364" i="47"/>
  <c r="I398" i="49" l="1"/>
  <c r="D398" i="49"/>
  <c r="E398" i="49" s="1"/>
  <c r="H399" i="49"/>
  <c r="C400" i="49"/>
  <c r="B399" i="49"/>
  <c r="AP364" i="47"/>
  <c r="AT365" i="47"/>
  <c r="AO365" i="47" s="1"/>
  <c r="AQ366" i="47"/>
  <c r="AN365" i="47"/>
  <c r="D399" i="49" l="1"/>
  <c r="E399" i="49" s="1"/>
  <c r="I399" i="49"/>
  <c r="C401" i="49"/>
  <c r="H400" i="49"/>
  <c r="B400" i="49"/>
  <c r="AP365" i="47"/>
  <c r="AT366" i="47"/>
  <c r="AP366" i="47" s="1"/>
  <c r="AQ367" i="47"/>
  <c r="AN366" i="47"/>
  <c r="C402" i="49" l="1"/>
  <c r="H401" i="49"/>
  <c r="B401" i="49"/>
  <c r="I400" i="49"/>
  <c r="D400" i="49"/>
  <c r="E400" i="49" s="1"/>
  <c r="AO366" i="47"/>
  <c r="AT367" i="47"/>
  <c r="AO367" i="47" s="1"/>
  <c r="AQ368" i="47"/>
  <c r="AN367" i="47"/>
  <c r="I401" i="49" l="1"/>
  <c r="D401" i="49"/>
  <c r="E401" i="49" s="1"/>
  <c r="C403" i="49"/>
  <c r="H402" i="49"/>
  <c r="B402" i="49"/>
  <c r="AP367" i="47"/>
  <c r="AQ369" i="47"/>
  <c r="AT368" i="47"/>
  <c r="AO368" i="47" s="1"/>
  <c r="AN368" i="47"/>
  <c r="D402" i="49" l="1"/>
  <c r="E402" i="49" s="1"/>
  <c r="I402" i="49"/>
  <c r="C404" i="49"/>
  <c r="B403" i="49"/>
  <c r="H403" i="49"/>
  <c r="AP368" i="47"/>
  <c r="AQ370" i="47"/>
  <c r="AT369" i="47"/>
  <c r="AO369" i="47" s="1"/>
  <c r="AN369" i="47"/>
  <c r="C405" i="49" l="1"/>
  <c r="B404" i="49"/>
  <c r="H404" i="49"/>
  <c r="I403" i="49"/>
  <c r="D403" i="49"/>
  <c r="E403" i="49" s="1"/>
  <c r="AP369" i="47"/>
  <c r="AT370" i="47"/>
  <c r="AO370" i="47" s="1"/>
  <c r="AN370" i="47"/>
  <c r="AQ371" i="47"/>
  <c r="I404" i="49" l="1"/>
  <c r="D404" i="49"/>
  <c r="E404" i="49" s="1"/>
  <c r="H405" i="49"/>
  <c r="C406" i="49"/>
  <c r="B405" i="49"/>
  <c r="AP370" i="47"/>
  <c r="AT371" i="47"/>
  <c r="AO371" i="47" s="1"/>
  <c r="AN371" i="47"/>
  <c r="AQ372" i="47"/>
  <c r="C407" i="49" l="1"/>
  <c r="H406" i="49"/>
  <c r="B406" i="49"/>
  <c r="I405" i="49"/>
  <c r="D405" i="49"/>
  <c r="E405" i="49" s="1"/>
  <c r="AP371" i="47"/>
  <c r="AT372" i="47"/>
  <c r="AO372" i="47" s="1"/>
  <c r="AN372" i="47"/>
  <c r="AQ373" i="47"/>
  <c r="I406" i="49" l="1"/>
  <c r="D406" i="49"/>
  <c r="E406" i="49" s="1"/>
  <c r="H407" i="49"/>
  <c r="C408" i="49"/>
  <c r="B407" i="49"/>
  <c r="AP372" i="47"/>
  <c r="AT373" i="47"/>
  <c r="AP373" i="47" s="1"/>
  <c r="AQ374" i="47"/>
  <c r="AN373" i="47"/>
  <c r="D407" i="49" l="1"/>
  <c r="E407" i="49" s="1"/>
  <c r="I407" i="49"/>
  <c r="C409" i="49"/>
  <c r="B408" i="49"/>
  <c r="H408" i="49"/>
  <c r="AO373" i="47"/>
  <c r="AQ375" i="47"/>
  <c r="AT374" i="47"/>
  <c r="AP374" i="47" s="1"/>
  <c r="AN374" i="47"/>
  <c r="D408" i="49" l="1"/>
  <c r="E408" i="49" s="1"/>
  <c r="I408" i="49"/>
  <c r="C410" i="49"/>
  <c r="B409" i="49"/>
  <c r="H409" i="49"/>
  <c r="AO374" i="47"/>
  <c r="AT375" i="47"/>
  <c r="AP375" i="47" s="1"/>
  <c r="AQ376" i="47"/>
  <c r="AN375" i="47"/>
  <c r="C411" i="49" l="1"/>
  <c r="H410" i="49"/>
  <c r="B410" i="49"/>
  <c r="I409" i="49"/>
  <c r="D409" i="49"/>
  <c r="E409" i="49" s="1"/>
  <c r="AO375" i="47"/>
  <c r="AT376" i="47"/>
  <c r="AO376" i="47" s="1"/>
  <c r="AQ377" i="47"/>
  <c r="AN376" i="47"/>
  <c r="D410" i="49" l="1"/>
  <c r="E410" i="49" s="1"/>
  <c r="I410" i="49"/>
  <c r="C412" i="49"/>
  <c r="B411" i="49"/>
  <c r="H411" i="49"/>
  <c r="AP376" i="47"/>
  <c r="AT377" i="47"/>
  <c r="AO377" i="47" s="1"/>
  <c r="AQ378" i="47"/>
  <c r="AN377" i="47"/>
  <c r="C413" i="49" l="1"/>
  <c r="H412" i="49"/>
  <c r="B412" i="49"/>
  <c r="D411" i="49"/>
  <c r="E411" i="49" s="1"/>
  <c r="I411" i="49"/>
  <c r="AP377" i="47"/>
  <c r="AT378" i="47"/>
  <c r="AO378" i="47" s="1"/>
  <c r="AQ379" i="47"/>
  <c r="AN378" i="47"/>
  <c r="D412" i="49" l="1"/>
  <c r="E412" i="49" s="1"/>
  <c r="I412" i="49"/>
  <c r="C414" i="49"/>
  <c r="B413" i="49"/>
  <c r="H413" i="49"/>
  <c r="AP378" i="47"/>
  <c r="AT379" i="47"/>
  <c r="AO379" i="47" s="1"/>
  <c r="AQ380" i="47"/>
  <c r="AN379" i="47"/>
  <c r="I413" i="49" l="1"/>
  <c r="D413" i="49"/>
  <c r="E413" i="49" s="1"/>
  <c r="C415" i="49"/>
  <c r="H414" i="49"/>
  <c r="B414" i="49"/>
  <c r="AP379" i="47"/>
  <c r="AT380" i="47"/>
  <c r="AP380" i="47" s="1"/>
  <c r="AQ381" i="47"/>
  <c r="AN380" i="47"/>
  <c r="D414" i="49" l="1"/>
  <c r="E414" i="49" s="1"/>
  <c r="I414" i="49"/>
  <c r="C416" i="49"/>
  <c r="H415" i="49"/>
  <c r="B415" i="49"/>
  <c r="AO380" i="47"/>
  <c r="AT381" i="47"/>
  <c r="AO381" i="47" s="1"/>
  <c r="AQ382" i="47"/>
  <c r="AN381" i="47"/>
  <c r="C417" i="49" l="1"/>
  <c r="H416" i="49"/>
  <c r="B416" i="49"/>
  <c r="D415" i="49"/>
  <c r="E415" i="49" s="1"/>
  <c r="I415" i="49"/>
  <c r="AP381" i="47"/>
  <c r="AQ383" i="47"/>
  <c r="AT382" i="47"/>
  <c r="AP382" i="47" s="1"/>
  <c r="AN382" i="47"/>
  <c r="D416" i="49" l="1"/>
  <c r="E416" i="49" s="1"/>
  <c r="I416" i="49"/>
  <c r="C418" i="49"/>
  <c r="H417" i="49"/>
  <c r="B417" i="49"/>
  <c r="AO382" i="47"/>
  <c r="AT383" i="47"/>
  <c r="AP383" i="47" s="1"/>
  <c r="AQ384" i="47"/>
  <c r="AN383" i="47"/>
  <c r="I417" i="49" l="1"/>
  <c r="D417" i="49"/>
  <c r="E417" i="49" s="1"/>
  <c r="H418" i="49"/>
  <c r="B418" i="49"/>
  <c r="C419" i="49"/>
  <c r="AO383" i="47"/>
  <c r="AT384" i="47"/>
  <c r="AO384" i="47" s="1"/>
  <c r="AQ385" i="47"/>
  <c r="AN384" i="47"/>
  <c r="B419" i="49" l="1"/>
  <c r="C420" i="49"/>
  <c r="H419" i="49"/>
  <c r="D418" i="49"/>
  <c r="E418" i="49" s="1"/>
  <c r="I418" i="49"/>
  <c r="AP384" i="47"/>
  <c r="AT385" i="47"/>
  <c r="AO385" i="47" s="1"/>
  <c r="AQ386" i="47"/>
  <c r="AN385" i="47"/>
  <c r="C421" i="49" l="1"/>
  <c r="H420" i="49"/>
  <c r="B420" i="49"/>
  <c r="I419" i="49"/>
  <c r="D419" i="49"/>
  <c r="E419" i="49" s="1"/>
  <c r="AP385" i="47"/>
  <c r="AT386" i="47"/>
  <c r="AO386" i="47" s="1"/>
  <c r="AQ387" i="47"/>
  <c r="AN386" i="47"/>
  <c r="D420" i="49" l="1"/>
  <c r="E420" i="49" s="1"/>
  <c r="I420" i="49"/>
  <c r="C422" i="49"/>
  <c r="H421" i="49"/>
  <c r="B421" i="49"/>
  <c r="AP386" i="47"/>
  <c r="AT387" i="47"/>
  <c r="AO387" i="47" s="1"/>
  <c r="AQ388" i="47"/>
  <c r="AN387" i="47"/>
  <c r="D421" i="49" l="1"/>
  <c r="E421" i="49" s="1"/>
  <c r="I421" i="49"/>
  <c r="C423" i="49"/>
  <c r="H422" i="49"/>
  <c r="B422" i="49"/>
  <c r="AP387" i="47"/>
  <c r="AT388" i="47"/>
  <c r="AP388" i="47" s="1"/>
  <c r="AQ389" i="47"/>
  <c r="AN388" i="47"/>
  <c r="C424" i="49" l="1"/>
  <c r="B423" i="49"/>
  <c r="H423" i="49"/>
  <c r="D422" i="49"/>
  <c r="E422" i="49" s="1"/>
  <c r="I422" i="49"/>
  <c r="AO388" i="47"/>
  <c r="AT389" i="47"/>
  <c r="AO389" i="47" s="1"/>
  <c r="AQ390" i="47"/>
  <c r="AN389" i="47"/>
  <c r="I423" i="49" l="1"/>
  <c r="D423" i="49"/>
  <c r="E423" i="49" s="1"/>
  <c r="C425" i="49"/>
  <c r="B424" i="49"/>
  <c r="H424" i="49"/>
  <c r="AP389" i="47"/>
  <c r="AT390" i="47"/>
  <c r="AO390" i="47" s="1"/>
  <c r="AQ391" i="47"/>
  <c r="AN390" i="47"/>
  <c r="D424" i="49" l="1"/>
  <c r="E424" i="49" s="1"/>
  <c r="I424" i="49"/>
  <c r="B425" i="49"/>
  <c r="C426" i="49"/>
  <c r="H425" i="49"/>
  <c r="AP390" i="47"/>
  <c r="AT391" i="47"/>
  <c r="AP391" i="47" s="1"/>
  <c r="AQ392" i="47"/>
  <c r="AN391" i="47"/>
  <c r="D425" i="49" l="1"/>
  <c r="E425" i="49" s="1"/>
  <c r="I425" i="49"/>
  <c r="C427" i="49"/>
  <c r="B426" i="49"/>
  <c r="H426" i="49"/>
  <c r="AO391" i="47"/>
  <c r="AT392" i="47"/>
  <c r="AO392" i="47" s="1"/>
  <c r="AQ393" i="47"/>
  <c r="AN392" i="47"/>
  <c r="C428" i="49" l="1"/>
  <c r="B427" i="49"/>
  <c r="H427" i="49"/>
  <c r="D426" i="49"/>
  <c r="E426" i="49" s="1"/>
  <c r="I426" i="49"/>
  <c r="AP392" i="47"/>
  <c r="AT393" i="47"/>
  <c r="AO393" i="47" s="1"/>
  <c r="AQ394" i="47"/>
  <c r="AN393" i="47"/>
  <c r="D427" i="49" l="1"/>
  <c r="E427" i="49" s="1"/>
  <c r="I427" i="49"/>
  <c r="B428" i="49"/>
  <c r="C429" i="49"/>
  <c r="H428" i="49"/>
  <c r="AP393" i="47"/>
  <c r="AT394" i="47"/>
  <c r="AO394" i="47" s="1"/>
  <c r="AQ395" i="47"/>
  <c r="AN394" i="47"/>
  <c r="C430" i="49" l="1"/>
  <c r="H429" i="49"/>
  <c r="B429" i="49"/>
  <c r="D428" i="49"/>
  <c r="E428" i="49" s="1"/>
  <c r="I428" i="49"/>
  <c r="AP394" i="47"/>
  <c r="AT395" i="47"/>
  <c r="AO395" i="47" s="1"/>
  <c r="AQ396" i="47"/>
  <c r="AN395" i="47"/>
  <c r="D429" i="49" l="1"/>
  <c r="E429" i="49" s="1"/>
  <c r="I429" i="49"/>
  <c r="C431" i="49"/>
  <c r="H430" i="49"/>
  <c r="B430" i="49"/>
  <c r="AP395" i="47"/>
  <c r="AT396" i="47"/>
  <c r="AP396" i="47" s="1"/>
  <c r="AQ397" i="47"/>
  <c r="AN396" i="47"/>
  <c r="D430" i="49" l="1"/>
  <c r="E430" i="49" s="1"/>
  <c r="I430" i="49"/>
  <c r="C432" i="49"/>
  <c r="B431" i="49"/>
  <c r="H431" i="49"/>
  <c r="AO396" i="47"/>
  <c r="AT397" i="47"/>
  <c r="AO397" i="47" s="1"/>
  <c r="AQ398" i="47"/>
  <c r="AN397" i="47"/>
  <c r="C433" i="49" l="1"/>
  <c r="B432" i="49"/>
  <c r="H432" i="49"/>
  <c r="D431" i="49"/>
  <c r="E431" i="49" s="1"/>
  <c r="I431" i="49"/>
  <c r="AP397" i="47"/>
  <c r="AT398" i="47"/>
  <c r="AO398" i="47" s="1"/>
  <c r="AQ399" i="47"/>
  <c r="AN398" i="47"/>
  <c r="I432" i="49" l="1"/>
  <c r="D432" i="49"/>
  <c r="E432" i="49" s="1"/>
  <c r="B433" i="49"/>
  <c r="C434" i="49"/>
  <c r="H433" i="49"/>
  <c r="AP398" i="47"/>
  <c r="AT399" i="47"/>
  <c r="AO399" i="47" s="1"/>
  <c r="AQ400" i="47"/>
  <c r="AN399" i="47"/>
  <c r="B434" i="49" l="1"/>
  <c r="C435" i="49"/>
  <c r="H434" i="49"/>
  <c r="I433" i="49"/>
  <c r="D433" i="49"/>
  <c r="E433" i="49" s="1"/>
  <c r="AP399" i="47"/>
  <c r="AT400" i="47"/>
  <c r="AO400" i="47" s="1"/>
  <c r="AQ401" i="47"/>
  <c r="AN400" i="47"/>
  <c r="I434" i="49" l="1"/>
  <c r="D434" i="49"/>
  <c r="E434" i="49" s="1"/>
  <c r="C436" i="49"/>
  <c r="B435" i="49"/>
  <c r="H435" i="49"/>
  <c r="AP400" i="47"/>
  <c r="AT401" i="47"/>
  <c r="AO401" i="47" s="1"/>
  <c r="AQ402" i="47"/>
  <c r="AN401" i="47"/>
  <c r="C437" i="49" l="1"/>
  <c r="H436" i="49"/>
  <c r="B436" i="49"/>
  <c r="D435" i="49"/>
  <c r="E435" i="49" s="1"/>
  <c r="I435" i="49"/>
  <c r="AP401" i="47"/>
  <c r="AT402" i="47"/>
  <c r="AO402" i="47" s="1"/>
  <c r="AQ403" i="47"/>
  <c r="AN402" i="47"/>
  <c r="D436" i="49" l="1"/>
  <c r="E436" i="49" s="1"/>
  <c r="I436" i="49"/>
  <c r="B437" i="49"/>
  <c r="H437" i="49"/>
  <c r="C438" i="49"/>
  <c r="AP402" i="47"/>
  <c r="AT403" i="47"/>
  <c r="AO403" i="47" s="1"/>
  <c r="AQ404" i="47"/>
  <c r="AN403" i="47"/>
  <c r="D437" i="49" l="1"/>
  <c r="E437" i="49" s="1"/>
  <c r="I437" i="49"/>
  <c r="C439" i="49"/>
  <c r="H438" i="49"/>
  <c r="B438" i="49"/>
  <c r="AP403" i="47"/>
  <c r="AT404" i="47"/>
  <c r="AP404" i="47" s="1"/>
  <c r="AQ405" i="47"/>
  <c r="AN404" i="47"/>
  <c r="D438" i="49" l="1"/>
  <c r="E438" i="49" s="1"/>
  <c r="I438" i="49"/>
  <c r="C440" i="49"/>
  <c r="H439" i="49"/>
  <c r="B439" i="49"/>
  <c r="AO404" i="47"/>
  <c r="AT405" i="47"/>
  <c r="AO405" i="47" s="1"/>
  <c r="AQ406" i="47"/>
  <c r="AN405" i="47"/>
  <c r="H440" i="49" l="1"/>
  <c r="C441" i="49"/>
  <c r="B440" i="49"/>
  <c r="I439" i="49"/>
  <c r="D439" i="49"/>
  <c r="E439" i="49" s="1"/>
  <c r="AP405" i="47"/>
  <c r="AT406" i="47"/>
  <c r="AO406" i="47" s="1"/>
  <c r="AQ407" i="47"/>
  <c r="AN406" i="47"/>
  <c r="I440" i="49" l="1"/>
  <c r="D440" i="49"/>
  <c r="E440" i="49" s="1"/>
  <c r="H441" i="49"/>
  <c r="C442" i="49"/>
  <c r="B441" i="49"/>
  <c r="AP406" i="47"/>
  <c r="AT407" i="47"/>
  <c r="AP407" i="47" s="1"/>
  <c r="AQ408" i="47"/>
  <c r="AN407" i="47"/>
  <c r="D441" i="49" l="1"/>
  <c r="E441" i="49" s="1"/>
  <c r="I441" i="49"/>
  <c r="C443" i="49"/>
  <c r="H442" i="49"/>
  <c r="B442" i="49"/>
  <c r="AO407" i="47"/>
  <c r="AN408" i="47"/>
  <c r="AT408" i="47"/>
  <c r="AO408" i="47" s="1"/>
  <c r="AQ409" i="47"/>
  <c r="D442" i="49" l="1"/>
  <c r="E442" i="49" s="1"/>
  <c r="I442" i="49"/>
  <c r="B443" i="49"/>
  <c r="H443" i="49"/>
  <c r="C444" i="49"/>
  <c r="AP408" i="47"/>
  <c r="AT409" i="47"/>
  <c r="AP409" i="47" s="1"/>
  <c r="AO409" i="47"/>
  <c r="AQ410" i="47"/>
  <c r="AN409" i="47"/>
  <c r="H444" i="49" l="1"/>
  <c r="B444" i="49"/>
  <c r="C445" i="49"/>
  <c r="D443" i="49"/>
  <c r="E443" i="49" s="1"/>
  <c r="I443" i="49"/>
  <c r="AQ411" i="47"/>
  <c r="AN410" i="47"/>
  <c r="AT410" i="47"/>
  <c r="AO410" i="47" s="1"/>
  <c r="I444" i="49" l="1"/>
  <c r="D444" i="49"/>
  <c r="E444" i="49" s="1"/>
  <c r="C446" i="49"/>
  <c r="H445" i="49"/>
  <c r="B445" i="49"/>
  <c r="AP410" i="47"/>
  <c r="AT411" i="47"/>
  <c r="AO411" i="47" s="1"/>
  <c r="AQ412" i="47"/>
  <c r="AN411" i="47"/>
  <c r="I445" i="49" l="1"/>
  <c r="D445" i="49"/>
  <c r="E445" i="49" s="1"/>
  <c r="C447" i="49"/>
  <c r="H446" i="49"/>
  <c r="B446" i="49"/>
  <c r="AP411" i="47"/>
  <c r="AT412" i="47"/>
  <c r="AP412" i="47" s="1"/>
  <c r="AQ413" i="47"/>
  <c r="AN412" i="47"/>
  <c r="I446" i="49" l="1"/>
  <c r="D446" i="49"/>
  <c r="E446" i="49" s="1"/>
  <c r="H447" i="49"/>
  <c r="B447" i="49"/>
  <c r="C448" i="49"/>
  <c r="AO412" i="47"/>
  <c r="AT413" i="47"/>
  <c r="AO413" i="47" s="1"/>
  <c r="AQ414" i="47"/>
  <c r="AN413" i="47"/>
  <c r="B448" i="49" l="1"/>
  <c r="C449" i="49"/>
  <c r="H448" i="49"/>
  <c r="D447" i="49"/>
  <c r="E447" i="49" s="1"/>
  <c r="I447" i="49"/>
  <c r="AP413" i="47"/>
  <c r="AT414" i="47"/>
  <c r="AP414" i="47" s="1"/>
  <c r="AQ415" i="47"/>
  <c r="AN414" i="47"/>
  <c r="D448" i="49" l="1"/>
  <c r="E448" i="49" s="1"/>
  <c r="I448" i="49"/>
  <c r="C450" i="49"/>
  <c r="H449" i="49"/>
  <c r="B449" i="49"/>
  <c r="AO414" i="47"/>
  <c r="AT415" i="47"/>
  <c r="AO415" i="47" s="1"/>
  <c r="AQ416" i="47"/>
  <c r="AN415" i="47"/>
  <c r="B450" i="49" l="1"/>
  <c r="H450" i="49"/>
  <c r="C451" i="49"/>
  <c r="I449" i="49"/>
  <c r="D449" i="49"/>
  <c r="E449" i="49" s="1"/>
  <c r="AP415" i="47"/>
  <c r="AT416" i="47"/>
  <c r="AO416" i="47" s="1"/>
  <c r="AQ417" i="47"/>
  <c r="AN416" i="47"/>
  <c r="B451" i="49" l="1"/>
  <c r="C452" i="49"/>
  <c r="H451" i="49"/>
  <c r="D450" i="49"/>
  <c r="E450" i="49" s="1"/>
  <c r="I450" i="49"/>
  <c r="AP416" i="47"/>
  <c r="AQ418" i="47"/>
  <c r="AT417" i="47"/>
  <c r="AO417" i="47" s="1"/>
  <c r="AN417" i="47"/>
  <c r="B452" i="49" l="1"/>
  <c r="C453" i="49"/>
  <c r="H452" i="49"/>
  <c r="D451" i="49"/>
  <c r="E451" i="49" s="1"/>
  <c r="I451" i="49"/>
  <c r="AP417" i="47"/>
  <c r="AN418" i="47"/>
  <c r="AQ419" i="47"/>
  <c r="AT418" i="47"/>
  <c r="AO418" i="47" s="1"/>
  <c r="H453" i="49" l="1"/>
  <c r="B453" i="49"/>
  <c r="C454" i="49"/>
  <c r="D452" i="49"/>
  <c r="E452" i="49" s="1"/>
  <c r="I452" i="49"/>
  <c r="AP418" i="47"/>
  <c r="AQ420" i="47"/>
  <c r="AT419" i="47"/>
  <c r="AO419" i="47" s="1"/>
  <c r="AN419" i="47"/>
  <c r="C455" i="49" l="1"/>
  <c r="H454" i="49"/>
  <c r="B454" i="49"/>
  <c r="D453" i="49"/>
  <c r="E453" i="49" s="1"/>
  <c r="I453" i="49"/>
  <c r="AP419" i="47"/>
  <c r="AN420" i="47"/>
  <c r="AQ421" i="47"/>
  <c r="AT420" i="47"/>
  <c r="AP420" i="47" s="1"/>
  <c r="AO420" i="47"/>
  <c r="D454" i="49" l="1"/>
  <c r="E454" i="49" s="1"/>
  <c r="I454" i="49"/>
  <c r="C456" i="49"/>
  <c r="B455" i="49"/>
  <c r="H455" i="49"/>
  <c r="AT421" i="47"/>
  <c r="AO421" i="47" s="1"/>
  <c r="AQ422" i="47"/>
  <c r="AN421" i="47"/>
  <c r="D455" i="49" l="1"/>
  <c r="E455" i="49" s="1"/>
  <c r="I455" i="49"/>
  <c r="C457" i="49"/>
  <c r="B456" i="49"/>
  <c r="H456" i="49"/>
  <c r="AP421" i="47"/>
  <c r="AN422" i="47"/>
  <c r="AQ423" i="47"/>
  <c r="AT422" i="47"/>
  <c r="AP422" i="47" s="1"/>
  <c r="C458" i="49" l="1"/>
  <c r="B457" i="49"/>
  <c r="H457" i="49"/>
  <c r="I456" i="49"/>
  <c r="D456" i="49"/>
  <c r="E456" i="49" s="1"/>
  <c r="AO422" i="47"/>
  <c r="AQ424" i="47"/>
  <c r="AT423" i="47"/>
  <c r="AP423" i="47" s="1"/>
  <c r="AN423" i="47"/>
  <c r="D457" i="49" l="1"/>
  <c r="E457" i="49" s="1"/>
  <c r="I457" i="49"/>
  <c r="C459" i="49"/>
  <c r="H458" i="49"/>
  <c r="B458" i="49"/>
  <c r="AO423" i="47"/>
  <c r="AT424" i="47"/>
  <c r="AO424" i="47" s="1"/>
  <c r="AQ425" i="47"/>
  <c r="AN424" i="47"/>
  <c r="D458" i="49" l="1"/>
  <c r="E458" i="49" s="1"/>
  <c r="I458" i="49"/>
  <c r="H459" i="49"/>
  <c r="B459" i="49"/>
  <c r="C460" i="49"/>
  <c r="AP424" i="47"/>
  <c r="AT425" i="47"/>
  <c r="AP425" i="47" s="1"/>
  <c r="AQ426" i="47"/>
  <c r="AN425" i="47"/>
  <c r="I459" i="49" l="1"/>
  <c r="D459" i="49"/>
  <c r="E459" i="49" s="1"/>
  <c r="B460" i="49"/>
  <c r="C461" i="49"/>
  <c r="H460" i="49"/>
  <c r="AO425" i="47"/>
  <c r="AT426" i="47"/>
  <c r="AO426" i="47" s="1"/>
  <c r="AQ427" i="47"/>
  <c r="AN426" i="47"/>
  <c r="B461" i="49" l="1"/>
  <c r="H461" i="49"/>
  <c r="C462" i="49"/>
  <c r="I460" i="49"/>
  <c r="D460" i="49"/>
  <c r="E460" i="49" s="1"/>
  <c r="AP426" i="47"/>
  <c r="AT427" i="47"/>
  <c r="AP427" i="47" s="1"/>
  <c r="AQ428" i="47"/>
  <c r="AN427" i="47"/>
  <c r="H462" i="49" l="1"/>
  <c r="B462" i="49"/>
  <c r="C463" i="49"/>
  <c r="D461" i="49"/>
  <c r="E461" i="49" s="1"/>
  <c r="I461" i="49"/>
  <c r="AO427" i="47"/>
  <c r="AT428" i="47"/>
  <c r="AO428" i="47" s="1"/>
  <c r="AQ429" i="47"/>
  <c r="AN428" i="47"/>
  <c r="I462" i="49" l="1"/>
  <c r="D462" i="49"/>
  <c r="E462" i="49" s="1"/>
  <c r="H463" i="49"/>
  <c r="C464" i="49"/>
  <c r="B463" i="49"/>
  <c r="AP428" i="47"/>
  <c r="AT429" i="47"/>
  <c r="AO429" i="47" s="1"/>
  <c r="AQ430" i="47"/>
  <c r="AN429" i="47"/>
  <c r="D463" i="49" l="1"/>
  <c r="E463" i="49" s="1"/>
  <c r="I463" i="49"/>
  <c r="C465" i="49"/>
  <c r="B464" i="49"/>
  <c r="H464" i="49"/>
  <c r="AP429" i="47"/>
  <c r="AT430" i="47"/>
  <c r="AO430" i="47" s="1"/>
  <c r="AQ431" i="47"/>
  <c r="AN430" i="47"/>
  <c r="D464" i="49" l="1"/>
  <c r="E464" i="49" s="1"/>
  <c r="I464" i="49"/>
  <c r="C466" i="49"/>
  <c r="B465" i="49"/>
  <c r="H465" i="49"/>
  <c r="AP430" i="47"/>
  <c r="AN431" i="47"/>
  <c r="AQ432" i="47"/>
  <c r="AT431" i="47"/>
  <c r="AP431" i="47" s="1"/>
  <c r="C467" i="49" l="1"/>
  <c r="H466" i="49"/>
  <c r="B466" i="49"/>
  <c r="I465" i="49"/>
  <c r="D465" i="49"/>
  <c r="E465" i="49" s="1"/>
  <c r="AO431" i="47"/>
  <c r="AT432" i="47"/>
  <c r="AO432" i="47" s="1"/>
  <c r="AQ433" i="47"/>
  <c r="AN432" i="47"/>
  <c r="D466" i="49" l="1"/>
  <c r="E466" i="49" s="1"/>
  <c r="I466" i="49"/>
  <c r="C468" i="49"/>
  <c r="B467" i="49"/>
  <c r="H467" i="49"/>
  <c r="AP432" i="47"/>
  <c r="AT433" i="47"/>
  <c r="AO433" i="47" s="1"/>
  <c r="AQ434" i="47"/>
  <c r="AN433" i="47"/>
  <c r="D467" i="49" l="1"/>
  <c r="E467" i="49" s="1"/>
  <c r="I467" i="49"/>
  <c r="C469" i="49"/>
  <c r="B468" i="49"/>
  <c r="H468" i="49"/>
  <c r="AP433" i="47"/>
  <c r="AT434" i="47"/>
  <c r="AO434" i="47" s="1"/>
  <c r="AQ435" i="47"/>
  <c r="AN434" i="47"/>
  <c r="D468" i="49" l="1"/>
  <c r="E468" i="49" s="1"/>
  <c r="I468" i="49"/>
  <c r="B469" i="49"/>
  <c r="C470" i="49"/>
  <c r="H469" i="49"/>
  <c r="AP434" i="47"/>
  <c r="AT435" i="47"/>
  <c r="AP435" i="47" s="1"/>
  <c r="AQ436" i="47"/>
  <c r="AN435" i="47"/>
  <c r="D469" i="49" l="1"/>
  <c r="E469" i="49" s="1"/>
  <c r="I469" i="49"/>
  <c r="C471" i="49"/>
  <c r="H470" i="49"/>
  <c r="B470" i="49"/>
  <c r="AO435" i="47"/>
  <c r="AT436" i="47"/>
  <c r="AO436" i="47" s="1"/>
  <c r="AQ437" i="47"/>
  <c r="AN436" i="47"/>
  <c r="D470" i="49" l="1"/>
  <c r="E470" i="49" s="1"/>
  <c r="I470" i="49"/>
  <c r="C472" i="49"/>
  <c r="H471" i="49"/>
  <c r="B471" i="49"/>
  <c r="AP436" i="47"/>
  <c r="AT437" i="47"/>
  <c r="AO437" i="47" s="1"/>
  <c r="AQ438" i="47"/>
  <c r="AN437" i="47"/>
  <c r="D471" i="49" l="1"/>
  <c r="E471" i="49" s="1"/>
  <c r="I471" i="49"/>
  <c r="H472" i="49"/>
  <c r="B472" i="49"/>
  <c r="C473" i="49"/>
  <c r="AP437" i="47"/>
  <c r="AT438" i="47"/>
  <c r="AO438" i="47" s="1"/>
  <c r="AQ439" i="47"/>
  <c r="AN438" i="47"/>
  <c r="D472" i="49" l="1"/>
  <c r="E472" i="49" s="1"/>
  <c r="I472" i="49"/>
  <c r="B473" i="49"/>
  <c r="H473" i="49"/>
  <c r="C474" i="49"/>
  <c r="AP438" i="47"/>
  <c r="AN439" i="47"/>
  <c r="AQ440" i="47"/>
  <c r="AT439" i="47"/>
  <c r="AP439" i="47" s="1"/>
  <c r="C475" i="49" l="1"/>
  <c r="B474" i="49"/>
  <c r="H474" i="49"/>
  <c r="I473" i="49"/>
  <c r="D473" i="49"/>
  <c r="E473" i="49" s="1"/>
  <c r="AO439" i="47"/>
  <c r="AT440" i="47"/>
  <c r="AP440" i="47" s="1"/>
  <c r="AQ441" i="47"/>
  <c r="AN440" i="47"/>
  <c r="I474" i="49" l="1"/>
  <c r="D474" i="49"/>
  <c r="E474" i="49" s="1"/>
  <c r="C476" i="49"/>
  <c r="H475" i="49"/>
  <c r="B475" i="49"/>
  <c r="AO440" i="47"/>
  <c r="AT441" i="47"/>
  <c r="AO441" i="47" s="1"/>
  <c r="AQ442" i="47"/>
  <c r="AN441" i="47"/>
  <c r="I475" i="49" l="1"/>
  <c r="D475" i="49"/>
  <c r="E475" i="49" s="1"/>
  <c r="H476" i="49"/>
  <c r="C477" i="49"/>
  <c r="B476" i="49"/>
  <c r="AP441" i="47"/>
  <c r="AT442" i="47"/>
  <c r="AO442" i="47" s="1"/>
  <c r="AQ443" i="47"/>
  <c r="AN442" i="47"/>
  <c r="D476" i="49" l="1"/>
  <c r="E476" i="49" s="1"/>
  <c r="I476" i="49"/>
  <c r="H477" i="49"/>
  <c r="B477" i="49"/>
  <c r="C478" i="49"/>
  <c r="AP442" i="47"/>
  <c r="AT443" i="47"/>
  <c r="AO443" i="47" s="1"/>
  <c r="AQ444" i="47"/>
  <c r="AN443" i="47"/>
  <c r="D477" i="49" l="1"/>
  <c r="E477" i="49" s="1"/>
  <c r="I477" i="49"/>
  <c r="B478" i="49"/>
  <c r="H478" i="49"/>
  <c r="C479" i="49"/>
  <c r="AP443" i="47"/>
  <c r="AT444" i="47"/>
  <c r="AO444" i="47" s="1"/>
  <c r="AQ445" i="47"/>
  <c r="AN444" i="47"/>
  <c r="D478" i="49" l="1"/>
  <c r="E478" i="49" s="1"/>
  <c r="I478" i="49"/>
  <c r="C480" i="49"/>
  <c r="B479" i="49"/>
  <c r="H479" i="49"/>
  <c r="AP444" i="47"/>
  <c r="AT445" i="47"/>
  <c r="AO445" i="47" s="1"/>
  <c r="AQ446" i="47"/>
  <c r="AN445" i="47"/>
  <c r="C481" i="49" l="1"/>
  <c r="H480" i="49"/>
  <c r="B480" i="49"/>
  <c r="D479" i="49"/>
  <c r="E479" i="49" s="1"/>
  <c r="I479" i="49"/>
  <c r="AP445" i="47"/>
  <c r="AT446" i="47"/>
  <c r="AP446" i="47" s="1"/>
  <c r="AQ447" i="47"/>
  <c r="AN446" i="47"/>
  <c r="D480" i="49" l="1"/>
  <c r="E480" i="49" s="1"/>
  <c r="I480" i="49"/>
  <c r="C482" i="49"/>
  <c r="H481" i="49"/>
  <c r="B481" i="49"/>
  <c r="AO446" i="47"/>
  <c r="AN447" i="47"/>
  <c r="AT447" i="47"/>
  <c r="AP447" i="47" s="1"/>
  <c r="AQ448" i="47"/>
  <c r="D481" i="49" l="1"/>
  <c r="E481" i="49" s="1"/>
  <c r="I481" i="49"/>
  <c r="C483" i="49"/>
  <c r="B482" i="49"/>
  <c r="H482" i="49"/>
  <c r="AO447" i="47"/>
  <c r="AT448" i="47"/>
  <c r="AO448" i="47" s="1"/>
  <c r="AQ449" i="47"/>
  <c r="AN448" i="47"/>
  <c r="I482" i="49" l="1"/>
  <c r="D482" i="49"/>
  <c r="E482" i="49" s="1"/>
  <c r="C484" i="49"/>
  <c r="H483" i="49"/>
  <c r="B483" i="49"/>
  <c r="AP448" i="47"/>
  <c r="AN449" i="47"/>
  <c r="AT449" i="47"/>
  <c r="AO449" i="47" s="1"/>
  <c r="AQ450" i="47"/>
  <c r="D483" i="49" l="1"/>
  <c r="E483" i="49" s="1"/>
  <c r="I483" i="49"/>
  <c r="C485" i="49"/>
  <c r="B484" i="49"/>
  <c r="H484" i="49"/>
  <c r="AP449" i="47"/>
  <c r="AT450" i="47"/>
  <c r="AO450" i="47" s="1"/>
  <c r="AQ451" i="47"/>
  <c r="AN450" i="47"/>
  <c r="D484" i="49" l="1"/>
  <c r="E484" i="49" s="1"/>
  <c r="I484" i="49"/>
  <c r="C486" i="49"/>
  <c r="H485" i="49"/>
  <c r="B485" i="49"/>
  <c r="AP450" i="47"/>
  <c r="AT451" i="47"/>
  <c r="AP451" i="47" s="1"/>
  <c r="AQ452" i="47"/>
  <c r="AN451" i="47"/>
  <c r="H486" i="49" l="1"/>
  <c r="B486" i="49"/>
  <c r="C487" i="49"/>
  <c r="D485" i="49"/>
  <c r="E485" i="49" s="1"/>
  <c r="I485" i="49"/>
  <c r="AO451" i="47"/>
  <c r="AT452" i="47"/>
  <c r="AO452" i="47" s="1"/>
  <c r="AQ453" i="47"/>
  <c r="AN452" i="47"/>
  <c r="H487" i="49" l="1"/>
  <c r="B487" i="49"/>
  <c r="C488" i="49"/>
  <c r="D486" i="49"/>
  <c r="E486" i="49" s="1"/>
  <c r="I486" i="49"/>
  <c r="AP452" i="47"/>
  <c r="AT453" i="47"/>
  <c r="AO453" i="47" s="1"/>
  <c r="AQ454" i="47"/>
  <c r="AN453" i="47"/>
  <c r="H488" i="49" l="1"/>
  <c r="C489" i="49"/>
  <c r="B488" i="49"/>
  <c r="D487" i="49"/>
  <c r="E487" i="49" s="1"/>
  <c r="I487" i="49"/>
  <c r="AP453" i="47"/>
  <c r="AT454" i="47"/>
  <c r="AO454" i="47" s="1"/>
  <c r="AQ455" i="47"/>
  <c r="AN454" i="47"/>
  <c r="C490" i="49" l="1"/>
  <c r="B489" i="49"/>
  <c r="H489" i="49"/>
  <c r="I488" i="49"/>
  <c r="D488" i="49"/>
  <c r="E488" i="49" s="1"/>
  <c r="AP454" i="47"/>
  <c r="AN455" i="47"/>
  <c r="AQ456" i="47"/>
  <c r="AT455" i="47"/>
  <c r="AP455" i="47" s="1"/>
  <c r="AO455" i="47"/>
  <c r="I489" i="49" l="1"/>
  <c r="D489" i="49"/>
  <c r="E489" i="49" s="1"/>
  <c r="C491" i="49"/>
  <c r="H490" i="49"/>
  <c r="B490" i="49"/>
  <c r="AT456" i="47"/>
  <c r="AO456" i="47" s="1"/>
  <c r="AQ457" i="47"/>
  <c r="AP456" i="47"/>
  <c r="AN456" i="47"/>
  <c r="D490" i="49" l="1"/>
  <c r="E490" i="49" s="1"/>
  <c r="I490" i="49"/>
  <c r="C492" i="49"/>
  <c r="H491" i="49"/>
  <c r="B491" i="49"/>
  <c r="AQ458" i="47"/>
  <c r="AT457" i="47"/>
  <c r="AO457" i="47" s="1"/>
  <c r="AP457" i="47"/>
  <c r="AN457" i="47"/>
  <c r="B492" i="49" l="1"/>
  <c r="C493" i="49"/>
  <c r="H492" i="49"/>
  <c r="D491" i="49"/>
  <c r="E491" i="49" s="1"/>
  <c r="I491" i="49"/>
  <c r="AT458" i="47"/>
  <c r="AQ459" i="47"/>
  <c r="AP458" i="47"/>
  <c r="AO458" i="47"/>
  <c r="AN458" i="47"/>
  <c r="B493" i="49" l="1"/>
  <c r="C494" i="49"/>
  <c r="H493" i="49"/>
  <c r="D492" i="49"/>
  <c r="E492" i="49" s="1"/>
  <c r="I492" i="49"/>
  <c r="AQ460" i="47"/>
  <c r="AT459" i="47"/>
  <c r="AP459" i="47" s="1"/>
  <c r="AN459" i="47"/>
  <c r="C495" i="49" l="1"/>
  <c r="B494" i="49"/>
  <c r="H494" i="49"/>
  <c r="D493" i="49"/>
  <c r="E493" i="49" s="1"/>
  <c r="I493" i="49"/>
  <c r="AO459" i="47"/>
  <c r="AT460" i="47"/>
  <c r="AO460" i="47" s="1"/>
  <c r="AQ461" i="47"/>
  <c r="AN460" i="47"/>
  <c r="I494" i="49" l="1"/>
  <c r="D494" i="49"/>
  <c r="E494" i="49" s="1"/>
  <c r="C496" i="49"/>
  <c r="B495" i="49"/>
  <c r="H495" i="49"/>
  <c r="AP460" i="47"/>
  <c r="AT461" i="47"/>
  <c r="AP461" i="47" s="1"/>
  <c r="AN461" i="47"/>
  <c r="AQ462" i="47"/>
  <c r="AO461" i="47"/>
  <c r="D495" i="49" l="1"/>
  <c r="E495" i="49" s="1"/>
  <c r="I495" i="49"/>
  <c r="C497" i="49"/>
  <c r="B496" i="49"/>
  <c r="H496" i="49"/>
  <c r="AQ463" i="47"/>
  <c r="AT462" i="47"/>
  <c r="AO462" i="47" s="1"/>
  <c r="AP462" i="47"/>
  <c r="AN462" i="47"/>
  <c r="D496" i="49" l="1"/>
  <c r="E496" i="49" s="1"/>
  <c r="I496" i="49"/>
  <c r="C498" i="49"/>
  <c r="B497" i="49"/>
  <c r="H497" i="49"/>
  <c r="AN463" i="47"/>
  <c r="AQ464" i="47"/>
  <c r="AT463" i="47"/>
  <c r="AP463" i="47" s="1"/>
  <c r="D497" i="49" l="1"/>
  <c r="E497" i="49" s="1"/>
  <c r="I497" i="49"/>
  <c r="C499" i="49"/>
  <c r="H498" i="49"/>
  <c r="B498" i="49"/>
  <c r="AO463" i="47"/>
  <c r="AT464" i="47"/>
  <c r="AQ465" i="47"/>
  <c r="AN464" i="47"/>
  <c r="AO464" i="47"/>
  <c r="AP464" i="47"/>
  <c r="I498" i="49" l="1"/>
  <c r="D498" i="49"/>
  <c r="E498" i="49" s="1"/>
  <c r="H499" i="49"/>
  <c r="C500" i="49"/>
  <c r="B499" i="49"/>
  <c r="AT465" i="47"/>
  <c r="AQ466" i="47"/>
  <c r="AO465" i="47"/>
  <c r="AN465" i="47"/>
  <c r="AP465" i="47"/>
  <c r="I499" i="49" l="1"/>
  <c r="D499" i="49"/>
  <c r="E499" i="49" s="1"/>
  <c r="C501" i="49"/>
  <c r="B500" i="49"/>
  <c r="H500" i="49"/>
  <c r="AT466" i="47"/>
  <c r="AQ467" i="47"/>
  <c r="AP466" i="47"/>
  <c r="AO466" i="47"/>
  <c r="AN466" i="47"/>
  <c r="D500" i="49" l="1"/>
  <c r="E500" i="49" s="1"/>
  <c r="I500" i="49"/>
  <c r="C502" i="49"/>
  <c r="B501" i="49"/>
  <c r="H501" i="49"/>
  <c r="AQ468" i="47"/>
  <c r="AT467" i="47"/>
  <c r="AO467" i="47"/>
  <c r="AN467" i="47"/>
  <c r="AP467" i="47"/>
  <c r="I501" i="49" l="1"/>
  <c r="D501" i="49"/>
  <c r="E501" i="49" s="1"/>
  <c r="C503" i="49"/>
  <c r="H502" i="49"/>
  <c r="B502" i="49"/>
  <c r="AQ469" i="47"/>
  <c r="AT468" i="47"/>
  <c r="AO468" i="47" s="1"/>
  <c r="AN468" i="47"/>
  <c r="I502" i="49" l="1"/>
  <c r="D502" i="49"/>
  <c r="E502" i="49" s="1"/>
  <c r="H503" i="49"/>
  <c r="C504" i="49"/>
  <c r="B503" i="49"/>
  <c r="AP468" i="47"/>
  <c r="AN469" i="47"/>
  <c r="AQ470" i="47"/>
  <c r="AT469" i="47"/>
  <c r="AP469" i="47" s="1"/>
  <c r="I503" i="49" l="1"/>
  <c r="D503" i="49"/>
  <c r="E503" i="49" s="1"/>
  <c r="H504" i="49"/>
  <c r="C505" i="49"/>
  <c r="B504" i="49"/>
  <c r="AO469" i="47"/>
  <c r="AN470" i="47"/>
  <c r="AQ471" i="47"/>
  <c r="AT470" i="47"/>
  <c r="AP470" i="47" s="1"/>
  <c r="AO470" i="47"/>
  <c r="I504" i="49" l="1"/>
  <c r="D504" i="49"/>
  <c r="E504" i="49" s="1"/>
  <c r="H505" i="49"/>
  <c r="B505" i="49"/>
  <c r="C506" i="49"/>
  <c r="AT471" i="47"/>
  <c r="AQ472" i="47"/>
  <c r="AN471" i="47"/>
  <c r="AP471" i="47"/>
  <c r="AO471" i="47"/>
  <c r="I505" i="49" l="1"/>
  <c r="D505" i="49"/>
  <c r="E505" i="49" s="1"/>
  <c r="H506" i="49"/>
  <c r="C507" i="49"/>
  <c r="B506" i="49"/>
  <c r="AT472" i="47"/>
  <c r="AQ473" i="47"/>
  <c r="AN472" i="47"/>
  <c r="AO472" i="47"/>
  <c r="AP472" i="47"/>
  <c r="I506" i="49" l="1"/>
  <c r="D506" i="49"/>
  <c r="E506" i="49" s="1"/>
  <c r="H507" i="49"/>
  <c r="C508" i="49"/>
  <c r="B507" i="49"/>
  <c r="AT473" i="47"/>
  <c r="AP473" i="47" s="1"/>
  <c r="AQ474" i="47"/>
  <c r="AO473" i="47"/>
  <c r="AN473" i="47"/>
  <c r="I507" i="49" l="1"/>
  <c r="D507" i="49"/>
  <c r="E507" i="49" s="1"/>
  <c r="H508" i="49"/>
  <c r="C509" i="49"/>
  <c r="B508" i="49"/>
  <c r="AT474" i="47"/>
  <c r="AQ475" i="47"/>
  <c r="AO474" i="47"/>
  <c r="AP474" i="47"/>
  <c r="AN474" i="47"/>
  <c r="I508" i="49" l="1"/>
  <c r="D508" i="49"/>
  <c r="E508" i="49" s="1"/>
  <c r="H509" i="49"/>
  <c r="C510" i="49"/>
  <c r="B509" i="49"/>
  <c r="AT475" i="47"/>
  <c r="AQ476" i="47"/>
  <c r="AN475" i="47"/>
  <c r="AO475" i="47"/>
  <c r="AP475" i="47"/>
  <c r="I509" i="49" l="1"/>
  <c r="D509" i="49"/>
  <c r="E509" i="49" s="1"/>
  <c r="H510" i="49"/>
  <c r="C511" i="49"/>
  <c r="B510" i="49"/>
  <c r="AT476" i="47"/>
  <c r="AQ477" i="47"/>
  <c r="AO476" i="47"/>
  <c r="AN476" i="47"/>
  <c r="AP476" i="47"/>
  <c r="I510" i="49" l="1"/>
  <c r="D510" i="49"/>
  <c r="E510" i="49" s="1"/>
  <c r="H511" i="49"/>
  <c r="C512" i="49"/>
  <c r="B511" i="49"/>
  <c r="AN477" i="47"/>
  <c r="AT477" i="47"/>
  <c r="AO477" i="47" s="1"/>
  <c r="AQ478" i="47"/>
  <c r="AP477" i="47"/>
  <c r="I511" i="49" l="1"/>
  <c r="D511" i="49"/>
  <c r="E511" i="49" s="1"/>
  <c r="H512" i="49"/>
  <c r="B512" i="49"/>
  <c r="C513" i="49"/>
  <c r="AT478" i="47"/>
  <c r="AQ479" i="47"/>
  <c r="AO478" i="47"/>
  <c r="AP478" i="47"/>
  <c r="AN478" i="47"/>
  <c r="I512" i="49" l="1"/>
  <c r="D512" i="49"/>
  <c r="E512" i="49" s="1"/>
  <c r="H513" i="49"/>
  <c r="B513" i="49"/>
  <c r="C514" i="49"/>
  <c r="AT479" i="47"/>
  <c r="AP479" i="47" s="1"/>
  <c r="AQ480" i="47"/>
  <c r="AN479" i="47"/>
  <c r="AO479" i="47"/>
  <c r="I513" i="49" l="1"/>
  <c r="D513" i="49"/>
  <c r="E513" i="49" s="1"/>
  <c r="H514" i="49"/>
  <c r="B514" i="49"/>
  <c r="C515" i="49"/>
  <c r="AN480" i="47"/>
  <c r="AT480" i="47"/>
  <c r="AQ481" i="47"/>
  <c r="AO480" i="47"/>
  <c r="AP480" i="47"/>
  <c r="I514" i="49" l="1"/>
  <c r="D514" i="49"/>
  <c r="E514" i="49" s="1"/>
  <c r="H515" i="49"/>
  <c r="C516" i="49"/>
  <c r="B515" i="49"/>
  <c r="AT481" i="47"/>
  <c r="AP481" i="47" s="1"/>
  <c r="AQ482" i="47"/>
  <c r="AN481" i="47"/>
  <c r="AO481" i="47"/>
  <c r="H516" i="49" l="1"/>
  <c r="B516" i="49"/>
  <c r="C517" i="49"/>
  <c r="I515" i="49"/>
  <c r="D515" i="49"/>
  <c r="E515" i="49" s="1"/>
  <c r="AT482" i="47"/>
  <c r="AQ483" i="47"/>
  <c r="AN482" i="47"/>
  <c r="AO482" i="47"/>
  <c r="AP482" i="47"/>
  <c r="I516" i="49" l="1"/>
  <c r="D516" i="49"/>
  <c r="E516" i="49" s="1"/>
  <c r="H517" i="49"/>
  <c r="C518" i="49"/>
  <c r="B517" i="49"/>
  <c r="AT483" i="47"/>
  <c r="AQ484" i="47"/>
  <c r="AN483" i="47"/>
  <c r="AO483" i="47"/>
  <c r="AP483" i="47"/>
  <c r="H518" i="49" l="1"/>
  <c r="B518" i="49"/>
  <c r="C519" i="49"/>
  <c r="I517" i="49"/>
  <c r="D517" i="49"/>
  <c r="E517" i="49" s="1"/>
  <c r="AT484" i="47"/>
  <c r="AQ485" i="47"/>
  <c r="AO484" i="47"/>
  <c r="AN484" i="47"/>
  <c r="AP484" i="47"/>
  <c r="H519" i="49" l="1"/>
  <c r="C520" i="49"/>
  <c r="B519" i="49"/>
  <c r="I518" i="49"/>
  <c r="D518" i="49"/>
  <c r="E518" i="49" s="1"/>
  <c r="AT485" i="47"/>
  <c r="AO485" i="47" s="1"/>
  <c r="AQ486" i="47"/>
  <c r="AN485" i="47"/>
  <c r="AP485" i="47"/>
  <c r="I519" i="49" l="1"/>
  <c r="D519" i="49"/>
  <c r="E519" i="49" s="1"/>
  <c r="H520" i="49"/>
  <c r="C521" i="49"/>
  <c r="B520" i="49"/>
  <c r="AT486" i="47"/>
  <c r="AQ487" i="47"/>
  <c r="AN486" i="47"/>
  <c r="AO486" i="47"/>
  <c r="AP486" i="47"/>
  <c r="I520" i="49" l="1"/>
  <c r="D520" i="49"/>
  <c r="E520" i="49" s="1"/>
  <c r="H521" i="49"/>
  <c r="C522" i="49"/>
  <c r="B521" i="49"/>
  <c r="AN487" i="47"/>
  <c r="AT487" i="47"/>
  <c r="AP487" i="47" s="1"/>
  <c r="AQ488" i="47"/>
  <c r="I521" i="49" l="1"/>
  <c r="D521" i="49"/>
  <c r="E521" i="49" s="1"/>
  <c r="H522" i="49"/>
  <c r="B522" i="49"/>
  <c r="C523" i="49"/>
  <c r="AO487" i="47"/>
  <c r="AN488" i="47"/>
  <c r="AT488" i="47"/>
  <c r="AP488" i="47" s="1"/>
  <c r="AQ489" i="47"/>
  <c r="AO488" i="47"/>
  <c r="H523" i="49" l="1"/>
  <c r="C524" i="49"/>
  <c r="B523" i="49"/>
  <c r="I522" i="49"/>
  <c r="D522" i="49"/>
  <c r="E522" i="49" s="1"/>
  <c r="AQ490" i="47"/>
  <c r="AT489" i="47"/>
  <c r="AP489" i="47" s="1"/>
  <c r="AN489" i="47"/>
  <c r="I523" i="49" l="1"/>
  <c r="D523" i="49"/>
  <c r="E523" i="49" s="1"/>
  <c r="H524" i="49"/>
  <c r="B524" i="49"/>
  <c r="C525" i="49"/>
  <c r="AO489" i="47"/>
  <c r="AT490" i="47"/>
  <c r="AQ491" i="47"/>
  <c r="AN490" i="47"/>
  <c r="AO490" i="47"/>
  <c r="AP490" i="47"/>
  <c r="I524" i="49" l="1"/>
  <c r="D524" i="49"/>
  <c r="E524" i="49" s="1"/>
  <c r="H525" i="49"/>
  <c r="C526" i="49"/>
  <c r="B525" i="49"/>
  <c r="AT491" i="47"/>
  <c r="AQ492" i="47"/>
  <c r="AN491" i="47"/>
  <c r="AP491" i="47"/>
  <c r="AO491" i="47"/>
  <c r="I525" i="49" l="1"/>
  <c r="D525" i="49"/>
  <c r="E525" i="49" s="1"/>
  <c r="H526" i="49"/>
  <c r="C527" i="49"/>
  <c r="B526" i="49"/>
  <c r="AT492" i="47"/>
  <c r="AQ493" i="47"/>
  <c r="AN492" i="47"/>
  <c r="AO492" i="47"/>
  <c r="AP492" i="47"/>
  <c r="I526" i="49" l="1"/>
  <c r="D526" i="49"/>
  <c r="E526" i="49" s="1"/>
  <c r="H527" i="49"/>
  <c r="B527" i="49"/>
  <c r="C528" i="49"/>
  <c r="AN493" i="47"/>
  <c r="AQ494" i="47"/>
  <c r="AT493" i="47"/>
  <c r="AO493" i="47" s="1"/>
  <c r="I527" i="49" l="1"/>
  <c r="D527" i="49"/>
  <c r="E527" i="49" s="1"/>
  <c r="H528" i="49"/>
  <c r="B528" i="49"/>
  <c r="C529" i="49"/>
  <c r="AP493" i="47"/>
  <c r="AT494" i="47"/>
  <c r="AQ495" i="47"/>
  <c r="AN494" i="47"/>
  <c r="AO494" i="47"/>
  <c r="AP494" i="47"/>
  <c r="I528" i="49" l="1"/>
  <c r="D528" i="49"/>
  <c r="E528" i="49" s="1"/>
  <c r="H529" i="49"/>
  <c r="C530" i="49"/>
  <c r="B529" i="49"/>
  <c r="AT495" i="47"/>
  <c r="AP495" i="47" s="1"/>
  <c r="AQ496" i="47"/>
  <c r="AN495" i="47"/>
  <c r="AO495" i="47"/>
  <c r="H530" i="49" l="1"/>
  <c r="B530" i="49"/>
  <c r="C531" i="49"/>
  <c r="I529" i="49"/>
  <c r="D529" i="49"/>
  <c r="E529" i="49" s="1"/>
  <c r="AN496" i="47"/>
  <c r="AT496" i="47"/>
  <c r="AP496" i="47" s="1"/>
  <c r="AQ497" i="47"/>
  <c r="AO496" i="47"/>
  <c r="H531" i="49" l="1"/>
  <c r="B531" i="49"/>
  <c r="C532" i="49"/>
  <c r="I530" i="49"/>
  <c r="D530" i="49"/>
  <c r="E530" i="49" s="1"/>
  <c r="AQ498" i="47"/>
  <c r="AT497" i="47"/>
  <c r="AP497" i="47" s="1"/>
  <c r="AN497" i="47"/>
  <c r="AO497" i="47"/>
  <c r="H532" i="49" l="1"/>
  <c r="C533" i="49"/>
  <c r="B532" i="49"/>
  <c r="I531" i="49"/>
  <c r="D531" i="49"/>
  <c r="E531" i="49" s="1"/>
  <c r="AT498" i="47"/>
  <c r="AQ499" i="47"/>
  <c r="AO498" i="47"/>
  <c r="AP498" i="47"/>
  <c r="AN498" i="47"/>
  <c r="I532" i="49" l="1"/>
  <c r="D532" i="49"/>
  <c r="E532" i="49" s="1"/>
  <c r="B533" i="49"/>
  <c r="H533" i="49"/>
  <c r="AT499" i="47"/>
  <c r="AQ500" i="47"/>
  <c r="AQ501" i="47" s="1"/>
  <c r="AN499" i="47"/>
  <c r="AO499" i="47"/>
  <c r="AP499" i="47"/>
  <c r="F530" i="49" l="1"/>
  <c r="G530" i="49" s="1"/>
  <c r="F528" i="49"/>
  <c r="G528" i="49" s="1"/>
  <c r="F526" i="49"/>
  <c r="G526" i="49" s="1"/>
  <c r="F532" i="49"/>
  <c r="G532" i="49" s="1"/>
  <c r="I533" i="49"/>
  <c r="D533" i="49"/>
  <c r="E533" i="49" s="1"/>
  <c r="AT501" i="47"/>
  <c r="AN501" i="47"/>
  <c r="AO501" i="47"/>
  <c r="AT500" i="47"/>
  <c r="AP501" i="47" s="1"/>
  <c r="AN500" i="47"/>
  <c r="AO500" i="47"/>
  <c r="AP500" i="47"/>
  <c r="F184" i="49" l="1"/>
  <c r="G184" i="49" s="1"/>
  <c r="F185" i="49"/>
  <c r="G185" i="49" s="1"/>
  <c r="F186" i="49"/>
  <c r="G186" i="49" s="1"/>
  <c r="F187" i="49"/>
  <c r="G187" i="49" s="1"/>
  <c r="F189" i="49"/>
  <c r="G189" i="49" s="1"/>
  <c r="F188" i="49"/>
  <c r="G188" i="49" s="1"/>
  <c r="F190" i="49"/>
  <c r="G190" i="49" s="1"/>
  <c r="F192" i="49"/>
  <c r="G192" i="49" s="1"/>
  <c r="F191" i="49"/>
  <c r="G191" i="49" s="1"/>
  <c r="F194" i="49"/>
  <c r="G194" i="49" s="1"/>
  <c r="F193" i="49"/>
  <c r="G193" i="49" s="1"/>
  <c r="F195" i="49"/>
  <c r="G195" i="49" s="1"/>
  <c r="F197" i="49"/>
  <c r="G197" i="49" s="1"/>
  <c r="F196" i="49"/>
  <c r="G196" i="49" s="1"/>
  <c r="F200" i="49"/>
  <c r="G200" i="49" s="1"/>
  <c r="F199" i="49"/>
  <c r="G199" i="49" s="1"/>
  <c r="F198" i="49"/>
  <c r="G198" i="49" s="1"/>
  <c r="F201" i="49"/>
  <c r="G201" i="49" s="1"/>
  <c r="F202" i="49"/>
  <c r="G202" i="49" s="1"/>
  <c r="F204" i="49"/>
  <c r="G204" i="49" s="1"/>
  <c r="F203" i="49"/>
  <c r="G203" i="49" s="1"/>
  <c r="F205" i="49"/>
  <c r="G205" i="49" s="1"/>
  <c r="F206" i="49"/>
  <c r="G206" i="49" s="1"/>
  <c r="F207" i="49"/>
  <c r="G207" i="49" s="1"/>
  <c r="F208" i="49"/>
  <c r="G208" i="49" s="1"/>
  <c r="F211" i="49"/>
  <c r="G211" i="49" s="1"/>
  <c r="F210" i="49"/>
  <c r="G210" i="49" s="1"/>
  <c r="F209" i="49"/>
  <c r="G209" i="49" s="1"/>
  <c r="F212" i="49"/>
  <c r="G212" i="49" s="1"/>
  <c r="F213" i="49"/>
  <c r="G213" i="49" s="1"/>
  <c r="F215" i="49"/>
  <c r="G215" i="49" s="1"/>
  <c r="F214" i="49"/>
  <c r="G214" i="49" s="1"/>
  <c r="F216" i="49"/>
  <c r="G216" i="49" s="1"/>
  <c r="F217" i="49"/>
  <c r="G217" i="49" s="1"/>
  <c r="F218" i="49"/>
  <c r="G218" i="49" s="1"/>
  <c r="F219" i="49"/>
  <c r="G219" i="49" s="1"/>
  <c r="F220" i="49"/>
  <c r="G220" i="49" s="1"/>
  <c r="F221" i="49"/>
  <c r="G221" i="49" s="1"/>
  <c r="F222" i="49"/>
  <c r="G222" i="49" s="1"/>
  <c r="F224" i="49"/>
  <c r="G224" i="49" s="1"/>
  <c r="F223" i="49"/>
  <c r="G223" i="49" s="1"/>
  <c r="F225" i="49"/>
  <c r="G225" i="49" s="1"/>
  <c r="F226" i="49"/>
  <c r="G226" i="49" s="1"/>
  <c r="F229" i="49"/>
  <c r="G229" i="49" s="1"/>
  <c r="F228" i="49"/>
  <c r="G228" i="49" s="1"/>
  <c r="F227" i="49"/>
  <c r="G227" i="49" s="1"/>
  <c r="F231" i="49"/>
  <c r="G231" i="49" s="1"/>
  <c r="F230" i="49"/>
  <c r="G230" i="49" s="1"/>
  <c r="F234" i="49"/>
  <c r="G234" i="49" s="1"/>
  <c r="F232" i="49"/>
  <c r="G232" i="49" s="1"/>
  <c r="F233" i="49"/>
  <c r="G233" i="49" s="1"/>
  <c r="F236" i="49"/>
  <c r="G236" i="49" s="1"/>
  <c r="F235" i="49"/>
  <c r="G235" i="49" s="1"/>
  <c r="F237" i="49"/>
  <c r="G237" i="49" s="1"/>
  <c r="F239" i="49"/>
  <c r="G239" i="49" s="1"/>
  <c r="F238" i="49"/>
  <c r="G238" i="49" s="1"/>
  <c r="F241" i="49"/>
  <c r="G241" i="49" s="1"/>
  <c r="F240" i="49"/>
  <c r="G240" i="49" s="1"/>
  <c r="F243" i="49"/>
  <c r="G243" i="49" s="1"/>
  <c r="F242" i="49"/>
  <c r="G242" i="49" s="1"/>
  <c r="F244" i="49"/>
  <c r="G244" i="49" s="1"/>
  <c r="F245" i="49"/>
  <c r="G245" i="49" s="1"/>
  <c r="F246" i="49"/>
  <c r="G246" i="49" s="1"/>
  <c r="F247" i="49"/>
  <c r="G247" i="49" s="1"/>
  <c r="F248" i="49"/>
  <c r="G248" i="49" s="1"/>
  <c r="F249" i="49"/>
  <c r="G249" i="49" s="1"/>
  <c r="F250" i="49"/>
  <c r="G250" i="49" s="1"/>
  <c r="F251" i="49"/>
  <c r="G251" i="49" s="1"/>
  <c r="F252" i="49"/>
  <c r="G252" i="49" s="1"/>
  <c r="F253" i="49"/>
  <c r="G253" i="49" s="1"/>
  <c r="F254" i="49"/>
  <c r="G254" i="49" s="1"/>
  <c r="F255" i="49"/>
  <c r="G255" i="49" s="1"/>
  <c r="F256" i="49"/>
  <c r="G256" i="49" s="1"/>
  <c r="F259" i="49"/>
  <c r="G259" i="49" s="1"/>
  <c r="F257" i="49"/>
  <c r="G257" i="49" s="1"/>
  <c r="F258" i="49"/>
  <c r="G258" i="49" s="1"/>
  <c r="F260" i="49"/>
  <c r="G260" i="49" s="1"/>
  <c r="F261" i="49"/>
  <c r="G261" i="49" s="1"/>
  <c r="F262" i="49"/>
  <c r="G262" i="49" s="1"/>
  <c r="F263" i="49"/>
  <c r="G263" i="49" s="1"/>
  <c r="F264" i="49"/>
  <c r="G264" i="49" s="1"/>
  <c r="F265" i="49"/>
  <c r="G265" i="49" s="1"/>
  <c r="F266" i="49"/>
  <c r="G266" i="49" s="1"/>
  <c r="F267" i="49"/>
  <c r="G267" i="49" s="1"/>
  <c r="F268" i="49"/>
  <c r="G268" i="49" s="1"/>
  <c r="F270" i="49"/>
  <c r="G270" i="49" s="1"/>
  <c r="F269" i="49"/>
  <c r="G269" i="49" s="1"/>
  <c r="F271" i="49"/>
  <c r="G271" i="49" s="1"/>
  <c r="F272" i="49"/>
  <c r="G272" i="49" s="1"/>
  <c r="F273" i="49"/>
  <c r="G273" i="49" s="1"/>
  <c r="F274" i="49"/>
  <c r="G274" i="49" s="1"/>
  <c r="F275" i="49"/>
  <c r="G275" i="49" s="1"/>
  <c r="F277" i="49"/>
  <c r="G277" i="49" s="1"/>
  <c r="F276" i="49"/>
  <c r="G276" i="49" s="1"/>
  <c r="F280" i="49"/>
  <c r="G280" i="49" s="1"/>
  <c r="F278" i="49"/>
  <c r="G278" i="49" s="1"/>
  <c r="F279" i="49"/>
  <c r="G279" i="49" s="1"/>
  <c r="F281" i="49"/>
  <c r="G281" i="49" s="1"/>
  <c r="F282" i="49"/>
  <c r="G282" i="49" s="1"/>
  <c r="F283" i="49"/>
  <c r="G283" i="49" s="1"/>
  <c r="F284" i="49"/>
  <c r="G284" i="49" s="1"/>
  <c r="F285" i="49"/>
  <c r="G285" i="49" s="1"/>
  <c r="F286" i="49"/>
  <c r="G286" i="49" s="1"/>
  <c r="F287" i="49"/>
  <c r="G287" i="49" s="1"/>
  <c r="F288" i="49"/>
  <c r="G288" i="49" s="1"/>
  <c r="F289" i="49"/>
  <c r="G289" i="49" s="1"/>
  <c r="F290" i="49"/>
  <c r="G290" i="49" s="1"/>
  <c r="F291" i="49"/>
  <c r="G291" i="49" s="1"/>
  <c r="F292" i="49"/>
  <c r="G292" i="49" s="1"/>
  <c r="F293" i="49"/>
  <c r="G293" i="49" s="1"/>
  <c r="F294" i="49"/>
  <c r="G294" i="49" s="1"/>
  <c r="F298" i="49"/>
  <c r="G298" i="49" s="1"/>
  <c r="F295" i="49"/>
  <c r="G295" i="49" s="1"/>
  <c r="F296" i="49"/>
  <c r="G296" i="49" s="1"/>
  <c r="F299" i="49"/>
  <c r="G299" i="49" s="1"/>
  <c r="F297" i="49"/>
  <c r="G297" i="49" s="1"/>
  <c r="F300" i="49"/>
  <c r="G300" i="49" s="1"/>
  <c r="F302" i="49"/>
  <c r="G302" i="49" s="1"/>
  <c r="F301" i="49"/>
  <c r="G301" i="49" s="1"/>
  <c r="F304" i="49"/>
  <c r="G304" i="49" s="1"/>
  <c r="F303" i="49"/>
  <c r="G303" i="49" s="1"/>
  <c r="F305" i="49"/>
  <c r="G305" i="49" s="1"/>
  <c r="F306" i="49"/>
  <c r="G306" i="49" s="1"/>
  <c r="F307" i="49"/>
  <c r="G307" i="49" s="1"/>
  <c r="F308" i="49"/>
  <c r="G308" i="49" s="1"/>
  <c r="F309" i="49"/>
  <c r="G309" i="49" s="1"/>
  <c r="F310" i="49"/>
  <c r="G310" i="49" s="1"/>
  <c r="F311" i="49"/>
  <c r="G311" i="49" s="1"/>
  <c r="F312" i="49"/>
  <c r="G312" i="49" s="1"/>
  <c r="F313" i="49"/>
  <c r="G313" i="49" s="1"/>
  <c r="F314" i="49"/>
  <c r="G314" i="49" s="1"/>
  <c r="F315" i="49"/>
  <c r="G315" i="49" s="1"/>
  <c r="F316" i="49"/>
  <c r="G316" i="49" s="1"/>
  <c r="F317" i="49"/>
  <c r="G317" i="49" s="1"/>
  <c r="F318" i="49"/>
  <c r="G318" i="49" s="1"/>
  <c r="F319" i="49"/>
  <c r="G319" i="49" s="1"/>
  <c r="F320" i="49"/>
  <c r="G320" i="49" s="1"/>
  <c r="F321" i="49"/>
  <c r="G321" i="49" s="1"/>
  <c r="F322" i="49"/>
  <c r="G322" i="49" s="1"/>
  <c r="F323" i="49"/>
  <c r="G323" i="49" s="1"/>
  <c r="F324" i="49"/>
  <c r="G324" i="49" s="1"/>
  <c r="F325" i="49"/>
  <c r="G325" i="49" s="1"/>
  <c r="F326" i="49"/>
  <c r="G326" i="49" s="1"/>
  <c r="F327" i="49"/>
  <c r="G327" i="49" s="1"/>
  <c r="F328" i="49"/>
  <c r="G328" i="49" s="1"/>
  <c r="F329" i="49"/>
  <c r="G329" i="49" s="1"/>
  <c r="F330" i="49"/>
  <c r="G330" i="49" s="1"/>
  <c r="F331" i="49"/>
  <c r="G331" i="49" s="1"/>
  <c r="F332" i="49"/>
  <c r="G332" i="49" s="1"/>
  <c r="F333" i="49"/>
  <c r="G333" i="49" s="1"/>
  <c r="F334" i="49"/>
  <c r="G334" i="49" s="1"/>
  <c r="F335" i="49"/>
  <c r="G335" i="49" s="1"/>
  <c r="F336" i="49"/>
  <c r="G336" i="49" s="1"/>
  <c r="F337" i="49"/>
  <c r="G337" i="49" s="1"/>
  <c r="F338" i="49"/>
  <c r="G338" i="49" s="1"/>
  <c r="F339" i="49"/>
  <c r="G339" i="49" s="1"/>
  <c r="F340" i="49"/>
  <c r="G340" i="49" s="1"/>
  <c r="F341" i="49"/>
  <c r="G341" i="49" s="1"/>
  <c r="F342" i="49"/>
  <c r="G342" i="49" s="1"/>
  <c r="F343" i="49"/>
  <c r="G343" i="49" s="1"/>
  <c r="F344" i="49"/>
  <c r="G344" i="49" s="1"/>
  <c r="F345" i="49"/>
  <c r="G345" i="49" s="1"/>
  <c r="F346" i="49"/>
  <c r="G346" i="49" s="1"/>
  <c r="F347" i="49"/>
  <c r="G347" i="49" s="1"/>
  <c r="F348" i="49"/>
  <c r="G348" i="49" s="1"/>
  <c r="F349" i="49"/>
  <c r="G349" i="49" s="1"/>
  <c r="F350" i="49"/>
  <c r="G350" i="49" s="1"/>
  <c r="F351" i="49"/>
  <c r="G351" i="49" s="1"/>
  <c r="F352" i="49"/>
  <c r="G352" i="49" s="1"/>
  <c r="F353" i="49"/>
  <c r="G353" i="49" s="1"/>
  <c r="F354" i="49"/>
  <c r="G354" i="49" s="1"/>
  <c r="F355" i="49"/>
  <c r="G355" i="49" s="1"/>
  <c r="F356" i="49"/>
  <c r="G356" i="49" s="1"/>
  <c r="F357" i="49"/>
  <c r="G357" i="49" s="1"/>
  <c r="F358" i="49"/>
  <c r="G358" i="49" s="1"/>
  <c r="F359" i="49"/>
  <c r="G359" i="49" s="1"/>
  <c r="F360" i="49"/>
  <c r="G360" i="49" s="1"/>
  <c r="F361" i="49"/>
  <c r="G361" i="49" s="1"/>
  <c r="F362" i="49"/>
  <c r="G362" i="49" s="1"/>
  <c r="F363" i="49"/>
  <c r="G363" i="49" s="1"/>
  <c r="F364" i="49"/>
  <c r="G364" i="49" s="1"/>
  <c r="F365" i="49"/>
  <c r="G365" i="49" s="1"/>
  <c r="F366" i="49"/>
  <c r="G366" i="49" s="1"/>
  <c r="F367" i="49"/>
  <c r="G367" i="49" s="1"/>
  <c r="F368" i="49"/>
  <c r="G368" i="49" s="1"/>
  <c r="F369" i="49"/>
  <c r="G369" i="49" s="1"/>
  <c r="F370" i="49"/>
  <c r="G370" i="49" s="1"/>
  <c r="F371" i="49"/>
  <c r="G371" i="49" s="1"/>
  <c r="F372" i="49"/>
  <c r="G372" i="49" s="1"/>
  <c r="F373" i="49"/>
  <c r="G373" i="49" s="1"/>
  <c r="F374" i="49"/>
  <c r="G374" i="49" s="1"/>
  <c r="F375" i="49"/>
  <c r="G375" i="49" s="1"/>
  <c r="F376" i="49"/>
  <c r="G376" i="49" s="1"/>
  <c r="F377" i="49"/>
  <c r="G377" i="49" s="1"/>
  <c r="F378" i="49"/>
  <c r="G378" i="49" s="1"/>
  <c r="F379" i="49"/>
  <c r="G379" i="49" s="1"/>
  <c r="F380" i="49"/>
  <c r="G380" i="49" s="1"/>
  <c r="F381" i="49"/>
  <c r="G381" i="49" s="1"/>
  <c r="F382" i="49"/>
  <c r="G382" i="49" s="1"/>
  <c r="F383" i="49"/>
  <c r="G383" i="49" s="1"/>
  <c r="F384" i="49"/>
  <c r="G384" i="49" s="1"/>
  <c r="F385" i="49"/>
  <c r="G385" i="49" s="1"/>
  <c r="F386" i="49"/>
  <c r="G386" i="49" s="1"/>
  <c r="F387" i="49"/>
  <c r="G387" i="49" s="1"/>
  <c r="F388" i="49"/>
  <c r="G388" i="49" s="1"/>
  <c r="F389" i="49"/>
  <c r="G389" i="49" s="1"/>
  <c r="F390" i="49"/>
  <c r="G390" i="49" s="1"/>
  <c r="F391" i="49"/>
  <c r="G391" i="49" s="1"/>
  <c r="F392" i="49"/>
  <c r="G392" i="49" s="1"/>
  <c r="F393" i="49"/>
  <c r="G393" i="49" s="1"/>
  <c r="F394" i="49"/>
  <c r="G394" i="49" s="1"/>
  <c r="F395" i="49"/>
  <c r="G395" i="49" s="1"/>
  <c r="F396" i="49"/>
  <c r="G396" i="49" s="1"/>
  <c r="F397" i="49"/>
  <c r="G397" i="49" s="1"/>
  <c r="F398" i="49"/>
  <c r="G398" i="49" s="1"/>
  <c r="F399" i="49"/>
  <c r="G399" i="49" s="1"/>
  <c r="F400" i="49"/>
  <c r="G400" i="49" s="1"/>
  <c r="F401" i="49"/>
  <c r="G401" i="49" s="1"/>
  <c r="F402" i="49"/>
  <c r="G402" i="49" s="1"/>
  <c r="F403" i="49"/>
  <c r="G403" i="49" s="1"/>
  <c r="F404" i="49"/>
  <c r="G404" i="49" s="1"/>
  <c r="F405" i="49"/>
  <c r="G405" i="49" s="1"/>
  <c r="F406" i="49"/>
  <c r="G406" i="49" s="1"/>
  <c r="F407" i="49"/>
  <c r="G407" i="49" s="1"/>
  <c r="F408" i="49"/>
  <c r="G408" i="49" s="1"/>
  <c r="F409" i="49"/>
  <c r="G409" i="49" s="1"/>
  <c r="F410" i="49"/>
  <c r="G410" i="49" s="1"/>
  <c r="F411" i="49"/>
  <c r="G411" i="49" s="1"/>
  <c r="F412" i="49"/>
  <c r="G412" i="49" s="1"/>
  <c r="F413" i="49"/>
  <c r="G413" i="49" s="1"/>
  <c r="F414" i="49"/>
  <c r="G414" i="49" s="1"/>
  <c r="F415" i="49"/>
  <c r="G415" i="49" s="1"/>
  <c r="F416" i="49"/>
  <c r="G416" i="49" s="1"/>
  <c r="F417" i="49"/>
  <c r="G417" i="49" s="1"/>
  <c r="F418" i="49"/>
  <c r="G418" i="49" s="1"/>
  <c r="F419" i="49"/>
  <c r="G419" i="49" s="1"/>
  <c r="F420" i="49"/>
  <c r="G420" i="49" s="1"/>
  <c r="F421" i="49"/>
  <c r="G421" i="49" s="1"/>
  <c r="F422" i="49"/>
  <c r="G422" i="49" s="1"/>
  <c r="F423" i="49"/>
  <c r="G423" i="49" s="1"/>
  <c r="F424" i="49"/>
  <c r="G424" i="49" s="1"/>
  <c r="F425" i="49"/>
  <c r="G425" i="49" s="1"/>
  <c r="F426" i="49"/>
  <c r="G426" i="49" s="1"/>
  <c r="F427" i="49"/>
  <c r="G427" i="49" s="1"/>
  <c r="F428" i="49"/>
  <c r="G428" i="49" s="1"/>
  <c r="F429" i="49"/>
  <c r="G429" i="49" s="1"/>
  <c r="F430" i="49"/>
  <c r="G430" i="49" s="1"/>
  <c r="F431" i="49"/>
  <c r="G431" i="49" s="1"/>
  <c r="F432" i="49"/>
  <c r="G432" i="49" s="1"/>
  <c r="F433" i="49"/>
  <c r="G433" i="49" s="1"/>
  <c r="F434" i="49"/>
  <c r="G434" i="49" s="1"/>
  <c r="F435" i="49"/>
  <c r="G435" i="49" s="1"/>
  <c r="F436" i="49"/>
  <c r="G436" i="49" s="1"/>
  <c r="F437" i="49"/>
  <c r="G437" i="49" s="1"/>
  <c r="F438" i="49"/>
  <c r="G438" i="49" s="1"/>
  <c r="F439" i="49"/>
  <c r="G439" i="49" s="1"/>
  <c r="F440" i="49"/>
  <c r="G440" i="49" s="1"/>
  <c r="F441" i="49"/>
  <c r="G441" i="49" s="1"/>
  <c r="F442" i="49"/>
  <c r="G442" i="49" s="1"/>
  <c r="F443" i="49"/>
  <c r="G443" i="49" s="1"/>
  <c r="F444" i="49"/>
  <c r="G444" i="49" s="1"/>
  <c r="F445" i="49"/>
  <c r="G445" i="49" s="1"/>
  <c r="F446" i="49"/>
  <c r="G446" i="49" s="1"/>
  <c r="F447" i="49"/>
  <c r="G447" i="49" s="1"/>
  <c r="F448" i="49"/>
  <c r="G448" i="49" s="1"/>
  <c r="F449" i="49"/>
  <c r="G449" i="49" s="1"/>
  <c r="F450" i="49"/>
  <c r="G450" i="49" s="1"/>
  <c r="F451" i="49"/>
  <c r="G451" i="49" s="1"/>
  <c r="F452" i="49"/>
  <c r="G452" i="49" s="1"/>
  <c r="F453" i="49"/>
  <c r="G453" i="49" s="1"/>
  <c r="F454" i="49"/>
  <c r="G454" i="49" s="1"/>
  <c r="F455" i="49"/>
  <c r="G455" i="49" s="1"/>
  <c r="F456" i="49"/>
  <c r="G456" i="49" s="1"/>
  <c r="F457" i="49"/>
  <c r="G457" i="49" s="1"/>
  <c r="F458" i="49"/>
  <c r="G458" i="49" s="1"/>
  <c r="F459" i="49"/>
  <c r="G459" i="49" s="1"/>
  <c r="F460" i="49"/>
  <c r="G460" i="49" s="1"/>
  <c r="F461" i="49"/>
  <c r="G461" i="49" s="1"/>
  <c r="F462" i="49"/>
  <c r="G462" i="49" s="1"/>
  <c r="F463" i="49"/>
  <c r="G463" i="49" s="1"/>
  <c r="F464" i="49"/>
  <c r="G464" i="49" s="1"/>
  <c r="F465" i="49"/>
  <c r="G465" i="49" s="1"/>
  <c r="F466" i="49"/>
  <c r="G466" i="49" s="1"/>
  <c r="F467" i="49"/>
  <c r="G467" i="49" s="1"/>
  <c r="F468" i="49"/>
  <c r="G468" i="49" s="1"/>
  <c r="F469" i="49"/>
  <c r="G469" i="49" s="1"/>
  <c r="F470" i="49"/>
  <c r="G470" i="49" s="1"/>
  <c r="F471" i="49"/>
  <c r="G471" i="49" s="1"/>
  <c r="F472" i="49"/>
  <c r="G472" i="49" s="1"/>
  <c r="F473" i="49"/>
  <c r="G473" i="49" s="1"/>
  <c r="F474" i="49"/>
  <c r="G474" i="49" s="1"/>
  <c r="F475" i="49"/>
  <c r="G475" i="49" s="1"/>
  <c r="F476" i="49"/>
  <c r="G476" i="49" s="1"/>
  <c r="F477" i="49"/>
  <c r="G477" i="49" s="1"/>
  <c r="F478" i="49"/>
  <c r="G478" i="49" s="1"/>
  <c r="F479" i="49"/>
  <c r="G479" i="49" s="1"/>
  <c r="F480" i="49"/>
  <c r="G480" i="49" s="1"/>
  <c r="F481" i="49"/>
  <c r="G481" i="49" s="1"/>
  <c r="F482" i="49"/>
  <c r="G482" i="49" s="1"/>
  <c r="F483" i="49"/>
  <c r="G483" i="49" s="1"/>
  <c r="F484" i="49"/>
  <c r="G484" i="49" s="1"/>
  <c r="F485" i="49"/>
  <c r="G485" i="49" s="1"/>
  <c r="F486" i="49"/>
  <c r="G486" i="49" s="1"/>
  <c r="F487" i="49"/>
  <c r="G487" i="49" s="1"/>
  <c r="F488" i="49"/>
  <c r="G488" i="49" s="1"/>
  <c r="F489" i="49"/>
  <c r="G489" i="49" s="1"/>
  <c r="F490" i="49"/>
  <c r="G490" i="49" s="1"/>
  <c r="F491" i="49"/>
  <c r="G491" i="49" s="1"/>
  <c r="F492" i="49"/>
  <c r="G492" i="49" s="1"/>
  <c r="F87" i="49"/>
  <c r="G87" i="49" s="1"/>
  <c r="F493" i="49"/>
  <c r="G493" i="49" s="1"/>
  <c r="F494" i="49"/>
  <c r="G494" i="49" s="1"/>
  <c r="F88" i="49"/>
  <c r="G88" i="49" s="1"/>
  <c r="F111" i="49"/>
  <c r="G111" i="49" s="1"/>
  <c r="F110" i="49"/>
  <c r="G110" i="49" s="1"/>
  <c r="F115" i="49"/>
  <c r="G115" i="49" s="1"/>
  <c r="F166" i="49"/>
  <c r="G166" i="49" s="1"/>
  <c r="F164" i="49"/>
  <c r="G164" i="49" s="1"/>
  <c r="F181" i="49"/>
  <c r="G181" i="49" s="1"/>
  <c r="F168" i="49"/>
  <c r="G168" i="49" s="1"/>
  <c r="F44" i="49"/>
  <c r="G44" i="49" s="1"/>
  <c r="F155" i="49"/>
  <c r="G155" i="49" s="1"/>
  <c r="F66" i="49"/>
  <c r="G66" i="49" s="1"/>
  <c r="F170" i="49"/>
  <c r="G170" i="49" s="1"/>
  <c r="F131" i="49"/>
  <c r="G131" i="49" s="1"/>
  <c r="F128" i="49"/>
  <c r="G128" i="49" s="1"/>
  <c r="F47" i="49"/>
  <c r="G47" i="49" s="1"/>
  <c r="F495" i="49"/>
  <c r="G495" i="49" s="1"/>
  <c r="F89" i="49"/>
  <c r="G89" i="49" s="1"/>
  <c r="F42" i="49"/>
  <c r="G42" i="49" s="1"/>
  <c r="F81" i="49"/>
  <c r="G81" i="49" s="1"/>
  <c r="F145" i="49"/>
  <c r="G145" i="49" s="1"/>
  <c r="F147" i="49"/>
  <c r="G147" i="49" s="1"/>
  <c r="F37" i="49"/>
  <c r="G37" i="49" s="1"/>
  <c r="F150" i="49"/>
  <c r="G150" i="49" s="1"/>
  <c r="F98" i="49"/>
  <c r="G98" i="49" s="1"/>
  <c r="F55" i="49"/>
  <c r="G55" i="49" s="1"/>
  <c r="F48" i="49"/>
  <c r="G48" i="49" s="1"/>
  <c r="F43" i="49"/>
  <c r="G43" i="49" s="1"/>
  <c r="F174" i="49"/>
  <c r="G174" i="49" s="1"/>
  <c r="F45" i="49"/>
  <c r="G45" i="49" s="1"/>
  <c r="F53" i="49"/>
  <c r="G53" i="49" s="1"/>
  <c r="F116" i="49"/>
  <c r="G116" i="49" s="1"/>
  <c r="F67" i="49"/>
  <c r="G67" i="49" s="1"/>
  <c r="F173" i="49"/>
  <c r="G173" i="49" s="1"/>
  <c r="F179" i="49"/>
  <c r="G179" i="49" s="1"/>
  <c r="F151" i="49"/>
  <c r="G151" i="49" s="1"/>
  <c r="F73" i="49"/>
  <c r="G73" i="49" s="1"/>
  <c r="F64" i="49"/>
  <c r="G64" i="49" s="1"/>
  <c r="F169" i="49"/>
  <c r="G169" i="49" s="1"/>
  <c r="F34" i="49"/>
  <c r="G34" i="49" s="1"/>
  <c r="F35" i="49"/>
  <c r="G35" i="49" s="1"/>
  <c r="F105" i="49"/>
  <c r="G105" i="49" s="1"/>
  <c r="F124" i="49"/>
  <c r="G124" i="49" s="1"/>
  <c r="F175" i="49"/>
  <c r="G175" i="49" s="1"/>
  <c r="F119" i="49"/>
  <c r="G119" i="49" s="1"/>
  <c r="F183" i="49"/>
  <c r="G183" i="49" s="1"/>
  <c r="F84" i="49"/>
  <c r="G84" i="49" s="1"/>
  <c r="F138" i="49"/>
  <c r="G138" i="49" s="1"/>
  <c r="F142" i="49"/>
  <c r="G142" i="49" s="1"/>
  <c r="F158" i="49"/>
  <c r="G158" i="49" s="1"/>
  <c r="F125" i="49"/>
  <c r="G125" i="49" s="1"/>
  <c r="F109" i="49"/>
  <c r="G109" i="49" s="1"/>
  <c r="F153" i="49"/>
  <c r="G153" i="49" s="1"/>
  <c r="F154" i="49"/>
  <c r="G154" i="49" s="1"/>
  <c r="F36" i="49"/>
  <c r="G36" i="49" s="1"/>
  <c r="F79" i="49"/>
  <c r="G79" i="49" s="1"/>
  <c r="F71" i="49"/>
  <c r="G71" i="49" s="1"/>
  <c r="F159" i="49"/>
  <c r="G159" i="49" s="1"/>
  <c r="F75" i="49"/>
  <c r="G75" i="49" s="1"/>
  <c r="F69" i="49"/>
  <c r="G69" i="49" s="1"/>
  <c r="F80" i="49"/>
  <c r="G80" i="49" s="1"/>
  <c r="F114" i="49"/>
  <c r="G114" i="49" s="1"/>
  <c r="F59" i="49"/>
  <c r="G59" i="49" s="1"/>
  <c r="F82" i="49"/>
  <c r="G82" i="49" s="1"/>
  <c r="F137" i="49"/>
  <c r="G137" i="49" s="1"/>
  <c r="F85" i="49"/>
  <c r="G85" i="49" s="1"/>
  <c r="F93" i="49"/>
  <c r="G93" i="49" s="1"/>
  <c r="F97" i="49"/>
  <c r="G97" i="49" s="1"/>
  <c r="F148" i="49"/>
  <c r="G148" i="49" s="1"/>
  <c r="F177" i="49"/>
  <c r="G177" i="49" s="1"/>
  <c r="F65" i="49"/>
  <c r="G65" i="49" s="1"/>
  <c r="F78" i="49"/>
  <c r="G78" i="49" s="1"/>
  <c r="F139" i="49"/>
  <c r="G139" i="49" s="1"/>
  <c r="F141" i="49"/>
  <c r="G141" i="49" s="1"/>
  <c r="F127" i="49"/>
  <c r="G127" i="49" s="1"/>
  <c r="F107" i="49"/>
  <c r="G107" i="49" s="1"/>
  <c r="F176" i="49"/>
  <c r="G176" i="49" s="1"/>
  <c r="F140" i="49"/>
  <c r="G140" i="49" s="1"/>
  <c r="F171" i="49"/>
  <c r="G171" i="49" s="1"/>
  <c r="F51" i="49"/>
  <c r="G51" i="49" s="1"/>
  <c r="F161" i="49"/>
  <c r="G161" i="49" s="1"/>
  <c r="F62" i="49"/>
  <c r="G62" i="49" s="1"/>
  <c r="F103" i="49"/>
  <c r="G103" i="49" s="1"/>
  <c r="F134" i="49"/>
  <c r="G134" i="49" s="1"/>
  <c r="F132" i="49"/>
  <c r="G132" i="49" s="1"/>
  <c r="F144" i="49"/>
  <c r="G144" i="49" s="1"/>
  <c r="F496" i="49"/>
  <c r="G496" i="49" s="1"/>
  <c r="F99" i="49"/>
  <c r="G99" i="49" s="1"/>
  <c r="F95" i="49"/>
  <c r="G95" i="49" s="1"/>
  <c r="F38" i="49"/>
  <c r="G38" i="49" s="1"/>
  <c r="F152" i="49"/>
  <c r="G152" i="49" s="1"/>
  <c r="F50" i="49"/>
  <c r="G50" i="49" s="1"/>
  <c r="F90" i="49"/>
  <c r="G90" i="49" s="1"/>
  <c r="F133" i="49"/>
  <c r="G133" i="49" s="1"/>
  <c r="F41" i="49"/>
  <c r="G41" i="49" s="1"/>
  <c r="F92" i="49"/>
  <c r="G92" i="49" s="1"/>
  <c r="F101" i="49"/>
  <c r="G101" i="49" s="1"/>
  <c r="F122" i="49"/>
  <c r="G122" i="49" s="1"/>
  <c r="F149" i="49"/>
  <c r="G149" i="49" s="1"/>
  <c r="F135" i="49"/>
  <c r="G135" i="49" s="1"/>
  <c r="F117" i="49"/>
  <c r="G117" i="49" s="1"/>
  <c r="F60" i="49"/>
  <c r="G60" i="49" s="1"/>
  <c r="F165" i="49"/>
  <c r="G165" i="49" s="1"/>
  <c r="F180" i="49"/>
  <c r="G180" i="49" s="1"/>
  <c r="F126" i="49"/>
  <c r="G126" i="49" s="1"/>
  <c r="F118" i="49"/>
  <c r="G118" i="49" s="1"/>
  <c r="F68" i="49"/>
  <c r="G68" i="49" s="1"/>
  <c r="F40" i="49"/>
  <c r="G40" i="49" s="1"/>
  <c r="F49" i="49"/>
  <c r="G49" i="49" s="1"/>
  <c r="F146" i="49"/>
  <c r="G146" i="49" s="1"/>
  <c r="F74" i="49"/>
  <c r="G74" i="49" s="1"/>
  <c r="F129" i="49"/>
  <c r="G129" i="49" s="1"/>
  <c r="F106" i="49"/>
  <c r="G106" i="49" s="1"/>
  <c r="F108" i="49"/>
  <c r="G108" i="49" s="1"/>
  <c r="F76" i="49"/>
  <c r="G76" i="49" s="1"/>
  <c r="F54" i="49"/>
  <c r="G54" i="49" s="1"/>
  <c r="F123" i="49"/>
  <c r="G123" i="49" s="1"/>
  <c r="F86" i="49"/>
  <c r="G86" i="49" s="1"/>
  <c r="F163" i="49"/>
  <c r="G163" i="49" s="1"/>
  <c r="F96" i="49"/>
  <c r="G96" i="49" s="1"/>
  <c r="F77" i="49"/>
  <c r="G77" i="49" s="1"/>
  <c r="F178" i="49"/>
  <c r="G178" i="49" s="1"/>
  <c r="F52" i="49"/>
  <c r="G52" i="49" s="1"/>
  <c r="F172" i="49"/>
  <c r="G172" i="49" s="1"/>
  <c r="F63" i="49"/>
  <c r="G63" i="49" s="1"/>
  <c r="F136" i="49"/>
  <c r="G136" i="49" s="1"/>
  <c r="F157" i="49"/>
  <c r="G157" i="49" s="1"/>
  <c r="F160" i="49"/>
  <c r="G160" i="49" s="1"/>
  <c r="F72" i="49"/>
  <c r="G72" i="49" s="1"/>
  <c r="F112" i="49"/>
  <c r="G112" i="49" s="1"/>
  <c r="F57" i="49"/>
  <c r="G57" i="49" s="1"/>
  <c r="F102" i="49"/>
  <c r="G102" i="49" s="1"/>
  <c r="F156" i="49"/>
  <c r="G156" i="49" s="1"/>
  <c r="F130" i="49"/>
  <c r="G130" i="49" s="1"/>
  <c r="F120" i="49"/>
  <c r="G120" i="49" s="1"/>
  <c r="F100" i="49"/>
  <c r="G100" i="49" s="1"/>
  <c r="F61" i="49"/>
  <c r="G61" i="49" s="1"/>
  <c r="F56" i="49"/>
  <c r="G56" i="49" s="1"/>
  <c r="F167" i="49"/>
  <c r="G167" i="49" s="1"/>
  <c r="F83" i="49"/>
  <c r="G83" i="49" s="1"/>
  <c r="F182" i="49"/>
  <c r="G182" i="49" s="1"/>
  <c r="F104" i="49"/>
  <c r="G104" i="49" s="1"/>
  <c r="F94" i="49"/>
  <c r="G94" i="49" s="1"/>
  <c r="F70" i="49"/>
  <c r="G70" i="49" s="1"/>
  <c r="F143" i="49"/>
  <c r="G143" i="49" s="1"/>
  <c r="F113" i="49"/>
  <c r="G113" i="49" s="1"/>
  <c r="F497" i="49"/>
  <c r="G497" i="49" s="1"/>
  <c r="F58" i="49"/>
  <c r="G58" i="49" s="1"/>
  <c r="F91" i="49"/>
  <c r="G91" i="49" s="1"/>
  <c r="F121" i="49"/>
  <c r="G121" i="49" s="1"/>
  <c r="F46" i="49"/>
  <c r="G46" i="49" s="1"/>
  <c r="F39" i="49"/>
  <c r="G39" i="49" s="1"/>
  <c r="F498" i="49"/>
  <c r="G498" i="49" s="1"/>
  <c r="F162" i="49"/>
  <c r="G162" i="49" s="1"/>
  <c r="F499" i="49"/>
  <c r="G499" i="49" s="1"/>
  <c r="F500" i="49"/>
  <c r="G500" i="49" s="1"/>
  <c r="F501" i="49"/>
  <c r="G501" i="49" s="1"/>
  <c r="F502" i="49"/>
  <c r="G502" i="49" s="1"/>
  <c r="F503" i="49"/>
  <c r="G503" i="49" s="1"/>
  <c r="F504" i="49"/>
  <c r="G504" i="49" s="1"/>
  <c r="F505" i="49"/>
  <c r="G505" i="49" s="1"/>
  <c r="F506" i="49"/>
  <c r="G506" i="49" s="1"/>
  <c r="F507" i="49"/>
  <c r="G507" i="49" s="1"/>
  <c r="F508" i="49"/>
  <c r="G508" i="49" s="1"/>
  <c r="F509" i="49"/>
  <c r="G509" i="49" s="1"/>
  <c r="F510" i="49"/>
  <c r="G510" i="49" s="1"/>
  <c r="F511" i="49"/>
  <c r="G511" i="49" s="1"/>
  <c r="F512" i="49"/>
  <c r="G512" i="49" s="1"/>
  <c r="F513" i="49"/>
  <c r="G513" i="49" s="1"/>
  <c r="F514" i="49"/>
  <c r="G514" i="49" s="1"/>
  <c r="F515" i="49"/>
  <c r="G515" i="49" s="1"/>
  <c r="F516" i="49"/>
  <c r="G516" i="49" s="1"/>
  <c r="F517" i="49"/>
  <c r="G517" i="49" s="1"/>
  <c r="F518" i="49"/>
  <c r="G518" i="49" s="1"/>
  <c r="F519" i="49"/>
  <c r="G519" i="49" s="1"/>
  <c r="F520" i="49"/>
  <c r="G520" i="49" s="1"/>
  <c r="F521" i="49"/>
  <c r="G521" i="49" s="1"/>
  <c r="F522" i="49"/>
  <c r="G522" i="49" s="1"/>
  <c r="F523" i="49"/>
  <c r="G523" i="49" s="1"/>
  <c r="F524" i="49"/>
  <c r="G524" i="49" s="1"/>
  <c r="F527" i="49"/>
  <c r="G527" i="49" s="1"/>
  <c r="F529" i="49"/>
  <c r="G529" i="49" s="1"/>
  <c r="F525" i="49"/>
  <c r="G525" i="49" s="1"/>
  <c r="F531" i="49"/>
  <c r="G531" i="49" s="1"/>
  <c r="F533" i="49"/>
  <c r="G533" i="49" s="1"/>
  <c r="G23" i="49" l="1"/>
  <c r="B27" i="49" s="1"/>
  <c r="B28" i="49" s="1"/>
  <c r="G28" i="49" l="1"/>
  <c r="G27" i="49"/>
  <c r="G29" i="49"/>
  <c r="G26" i="49"/>
  <c r="B29" i="49" l="1"/>
  <c r="G15" i="88" s="1"/>
  <c r="G16" i="88" s="1"/>
  <c r="G31" i="8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tc={D6A716E4-9E10-42FD-814A-62909A285733}</author>
    <author>tc={E9D0A87B-25E8-A543-BCA1-4BFA5BF14445}</author>
  </authors>
  <commentList>
    <comment ref="M20" authorId="0" shapeId="0" xr:uid="{D6A716E4-9E10-42FD-814A-62909A285733}">
      <text>
        <t>[Threaded comment]
Your version of Excel allows you to read this threaded comment; however, any edits to it will get removed if the file is opened in a newer version of Excel. Learn more: https://go.microsoft.com/fwlink/?linkid=870924
Comment:
    Discrete GR&amp;R available in separate workbook due to Macro &amp; protection</t>
      </text>
    </comment>
    <comment ref="F25" authorId="1" shapeId="0" xr:uid="{E9D0A87B-25E8-A543-BCA1-4BFA5BF14445}">
      <text>
        <t>[Threaded comment]
Your version of Excel allows you to read this threaded comment; however, any edits to it will get removed if the file is opened in a newer version of Excel. Learn more: https://go.microsoft.com/fwlink/?linkid=870924
Comment:
    Discrete GR&amp;R available in separate workbook due to Macro &amp; protection</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tc={11DA68FC-AFD4-4040-A33D-FF3FF2365D9B}</author>
  </authors>
  <commentList>
    <comment ref="A13" authorId="0" shapeId="0" xr:uid="{11DA68FC-AFD4-4040-A33D-FF3FF2365D9B}">
      <text>
        <t>[Threaded comment]
Your version of Excel allows you to read this threaded comment; however, any edits to it will get removed if the file is opened in a newer version of Excel. Learn more: https://go.microsoft.com/fwlink/?linkid=870924
Comment:
    DMAIC dates can easily be replaced by PDCA or other approach as needed</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tc={8C12F115-EF56-1C48-919B-944808241791}</author>
  </authors>
  <commentList>
    <comment ref="E2" authorId="0" shapeId="0" xr:uid="{8C12F115-EF56-1C48-919B-944808241791}">
      <text>
        <t>[Threaded comment]
Your version of Excel allows you to read this threaded comment; however, any edits to it will get removed if the file is opened in a newer version of Excel. Learn more: https://go.microsoft.com/fwlink/?linkid=870924
Comment:
    Indicate phase of DMAIC using initial of phase as applicable (i.e. could be Inforced and consulted in DMA, then Responsible and Accountable in I&amp;C</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tc={FCA8197C-92CA-9A48-93B9-591481490CF1}</author>
    <author>tc={B8AE63F6-9363-3547-BD97-DC20EFFEE603}</author>
  </authors>
  <commentList>
    <comment ref="C2" authorId="0" shapeId="0" xr:uid="{FCA8197C-92CA-9A48-93B9-591481490CF1}">
      <text>
        <t>[Threaded comment]
Your version of Excel allows you to read this threaded comment; however, any edits to it will get removed if the file is opened in a newer version of Excel. Learn more: https://go.microsoft.com/fwlink/?linkid=870924
Comment:
    Make specific to project as per agreed ways of working</t>
      </text>
    </comment>
    <comment ref="E2" authorId="1" shapeId="0" xr:uid="{B8AE63F6-9363-3547-BD97-DC20EFFEE603}">
      <text>
        <t>[Threaded comment]
Your version of Excel allows you to read this threaded comment; however, any edits to it will get removed if the file is opened in a newer version of Excel. Learn more: https://go.microsoft.com/fwlink/?linkid=870924
Comment:
    As define by the team (suggestion for illustration) Insert actual names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tc={32230EED-00B2-CB41-A6A7-6FB327C942C1}</author>
    <author>tc={4E3EEAA4-B0BC-A548-B377-BCC9DD062CDA}</author>
  </authors>
  <commentList>
    <comment ref="C2" authorId="0" shapeId="0" xr:uid="{32230EED-00B2-CB41-A6A7-6FB327C942C1}">
      <text>
        <t>[Threaded comment]
Your version of Excel allows you to read this threaded comment; however, any edits to it will get removed if the file is opened in a newer version of Excel. Learn more: https://go.microsoft.com/fwlink/?linkid=870924
Comment:
    Make specific to project as per agreed ways of working</t>
      </text>
    </comment>
    <comment ref="E2" authorId="1" shapeId="0" xr:uid="{4E3EEAA4-B0BC-A548-B377-BCC9DD062CDA}">
      <text>
        <t>[Threaded comment]
Your version of Excel allows you to read this threaded comment; however, any edits to it will get removed if the file is opened in a newer version of Excel. Learn more: https://go.microsoft.com/fwlink/?linkid=870924
Comment:
    Insert actual names</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Bernard, Francoise, Vodafone UK</author>
  </authors>
  <commentList>
    <comment ref="B3" authorId="0" shapeId="0" xr:uid="{0C00FFCA-D33D-F446-918F-F1E167130564}">
      <text>
        <r>
          <rPr>
            <sz val="9"/>
            <color indexed="81"/>
            <rFont val="Tahoma"/>
            <family val="2"/>
          </rPr>
          <t>Using initials, list the owner, then the participants involved.  This will show potential or overload / conflicts.</t>
        </r>
      </text>
    </comment>
    <comment ref="C3" authorId="0" shapeId="0" xr:uid="{D575FD79-680C-F74B-8050-CFDFA8ED4AE0}">
      <text>
        <r>
          <rPr>
            <sz val="9"/>
            <color indexed="81"/>
            <rFont val="Tahoma"/>
            <family val="2"/>
          </rPr>
          <t>Input relevant comments, status, tools, systems, approach for the activity (see example).  Can also be used to highlight dependencies.</t>
        </r>
      </text>
    </comment>
    <comment ref="I3" authorId="0" shapeId="0" xr:uid="{900684EF-666E-0944-8BB3-F0214CB29DBD}">
      <text>
        <r>
          <rPr>
            <sz val="9"/>
            <color indexed="81"/>
            <rFont val="Tahoma"/>
            <family val="2"/>
          </rPr>
          <t>When scheduling activities (especially with key attendees), be mindful of bank holidays, school &amp; personal leave for effective planning.</t>
        </r>
      </text>
    </comment>
    <comment ref="D4" authorId="0" shapeId="0" xr:uid="{D5B2472F-6B2F-574C-9F8C-6E191C063302}">
      <text>
        <r>
          <rPr>
            <sz val="9"/>
            <color rgb="FF000000"/>
            <rFont val="Tahoma"/>
            <family val="2"/>
          </rPr>
          <t>Just fill the date of the commencing week, and  the following dates will be populated (see formula in cell E9 for info)</t>
        </r>
      </text>
    </comment>
    <comment ref="A5" authorId="0" shapeId="0" xr:uid="{1F5346DE-2BB9-9248-80A4-7B4F1E692A64}">
      <text>
        <r>
          <rPr>
            <b/>
            <sz val="9"/>
            <color indexed="81"/>
            <rFont val="Tahoma"/>
            <family val="2"/>
          </rPr>
          <t>For details on the tasks in each activities &amp;/or , please refer to the training materials or your TPE Coach</t>
        </r>
        <r>
          <rPr>
            <sz val="9"/>
            <color indexed="81"/>
            <rFont val="Tahoma"/>
            <family val="2"/>
          </rPr>
          <t xml:space="preserve">
</t>
        </r>
      </text>
    </comment>
    <comment ref="A6" authorId="0" shapeId="0" xr:uid="{C5072D27-CC5D-B14E-A76F-EBE361CC2C77}">
      <text>
        <r>
          <rPr>
            <sz val="9"/>
            <color indexed="81"/>
            <rFont val="Tahoma"/>
            <family val="2"/>
          </rPr>
          <t>You can either use MS Excel or Project Manager.  If you are concerned about missing some tasks, you can add rows and list those underneath the relevant activities.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tc={8D99ECB6-7CB9-F049-A5F6-05CFF66F0948}</author>
  </authors>
  <commentList>
    <comment ref="H5" authorId="0" shapeId="0" xr:uid="{8D99ECB6-7CB9-F049-A5F6-05CFF66F0948}">
      <text>
        <t>[Threaded comment]
Your version of Excel allows you to read this threaded comment; however, any edits to it will get removed if the file is opened in a newer version of Excel. Learn more: https://go.microsoft.com/fwlink/?linkid=870924
Comment:
    Options: Estimates, Predicted, Actuals</t>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tc={293A320F-F0B6-DE41-BEF3-50F95F3F952D}</author>
    <author>tc={1228CA9C-CC74-004B-BF74-0B0DD9BB0FD2}</author>
  </authors>
  <commentList>
    <comment ref="O4" authorId="0" shapeId="0" xr:uid="{293A320F-F0B6-DE41-BEF3-50F95F3F952D}">
      <text>
        <t>[Threaded comment]
Your version of Excel allows you to read this threaded comment; however, any edits to it will get removed if the file is opened in a newer version of Excel. Learn more: https://go.microsoft.com/fwlink/?linkid=870924
Comment:
    Should come from VoC + VoB as needed, use scale of 1 to 10, where 10 is the most important</t>
      </text>
    </comment>
    <comment ref="N5" authorId="1" shapeId="0" xr:uid="{1228CA9C-CC74-004B-BF74-0B0DD9BB0FD2}">
      <text>
        <t>[Threaded comment]
Your version of Excel allows you to read this threaded comment; however, any edits to it will get removed if the file is opened in a newer version of Excel. Learn more: https://go.microsoft.com/fwlink/?linkid=870924
Comment:
    Should match the process steps of your process map</t>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Author</author>
    <author>tc={B07AFC0C-A972-864F-BD09-A98FC7DFA1CC}</author>
    <author>tc={16225F9C-CE7D-D542-A87C-42ECCFB091AB}</author>
    <author>tc={C7BCAE79-5C6C-644B-B53B-45A58BE17067}</author>
    <author>tc={A6215CE6-4953-2D48-AC8B-93ED9691B5D1}</author>
  </authors>
  <commentList>
    <comment ref="F3" authorId="0" shapeId="0" xr:uid="{5BBD0B5E-8FB8-B648-9E86-DBE29B9798C6}">
      <text>
        <r>
          <rPr>
            <b/>
            <sz val="9"/>
            <color indexed="81"/>
            <rFont val="Tahoma"/>
            <family val="2"/>
          </rPr>
          <t>sum all the measurement values with the same part id as the current row and then divide by the number of rows with this part id.</t>
        </r>
      </text>
    </comment>
    <comment ref="G3" authorId="0" shapeId="0" xr:uid="{E69FA1DF-0A66-D441-8D8B-F029E21C9C8D}">
      <text>
        <r>
          <rPr>
            <b/>
            <sz val="9"/>
            <color indexed="81"/>
            <rFont val="Tahoma"/>
            <family val="2"/>
          </rPr>
          <t>sum all the measurement values with the same operator id as the current row and then divide by the number of rows with this operator id.</t>
        </r>
      </text>
    </comment>
    <comment ref="P20" authorId="1" shapeId="0" xr:uid="{B07AFC0C-A972-864F-BD09-A98FC7DFA1CC}">
      <text>
        <t>[Threaded comment]
Your version of Excel allows you to read this threaded comment; however, any edits to it will get removed if the file is opened in a newer version of Excel. Learn more: https://go.microsoft.com/fwlink/?linkid=870924
Comment:
    This is the variation of the process - Ideally you want this % to be as high as possible</t>
      </text>
    </comment>
    <comment ref="R20" authorId="2" shapeId="0" xr:uid="{16225F9C-CE7D-D542-A87C-42ECCFB091AB}">
      <text>
        <t>[Threaded comment]
Your version of Excel allows you to read this threaded comment; however, any edits to it will get removed if the file is opened in a newer version of Excel. Learn more: https://go.microsoft.com/fwlink/?linkid=870924
Comment:
    This is the part of the measurement variation coming from repeatibility, i.e. the method used</t>
      </text>
    </comment>
    <comment ref="U20" authorId="3" shapeId="0" xr:uid="{C7BCAE79-5C6C-644B-B53B-45A58BE17067}">
      <text>
        <t>[Threaded comment]
Your version of Excel allows you to read this threaded comment; however, any edits to it will get removed if the file is opened in a newer version of Excel. Learn more: https://go.microsoft.com/fwlink/?linkid=870924
Comment:
    This is the part of the measurement variation coming from reproducibility, i.e. affected by operators</t>
      </text>
    </comment>
    <comment ref="V20" authorId="4" shapeId="0" xr:uid="{A6215CE6-4953-2D48-AC8B-93ED9691B5D1}">
      <text>
        <t>[Threaded comment]
Your version of Excel allows you to read this threaded comment; however, any edits to it will get removed if the file is opened in a newer version of Excel. Learn more: https://go.microsoft.com/fwlink/?linkid=870924
Comment:
    This is the variation from the measurement - You want this to be as low as possible</t>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Simon Dawes</author>
  </authors>
  <commentList>
    <comment ref="F6" authorId="0" shapeId="0" xr:uid="{B8B1F446-7744-4440-8477-D19EB40601B2}">
      <text>
        <r>
          <rPr>
            <b/>
            <sz val="9"/>
            <color indexed="81"/>
            <rFont val="Tahoma"/>
            <family val="2"/>
          </rPr>
          <t>Simon Dawes:</t>
        </r>
        <r>
          <rPr>
            <sz val="9"/>
            <color indexed="81"/>
            <rFont val="Tahoma"/>
            <family val="2"/>
          </rPr>
          <t xml:space="preserve">
Average distance to the average</t>
        </r>
      </text>
    </comment>
    <comment ref="F11" authorId="0" shapeId="0" xr:uid="{E752A9EE-95CA-49F4-AA35-0BB101DC950B}">
      <text>
        <r>
          <rPr>
            <b/>
            <sz val="9"/>
            <color indexed="81"/>
            <rFont val="Tahoma"/>
            <family val="2"/>
          </rPr>
          <t>Simon Dawes:</t>
        </r>
        <r>
          <rPr>
            <sz val="9"/>
            <color indexed="81"/>
            <rFont val="Tahoma"/>
            <family val="2"/>
          </rPr>
          <t xml:space="preserve">
A high kurtosis portrays a chart with fat tails and a low, even distribution, whereas a low kurtosis portrays a chart with skinny tails and a distribution concentrated toward the mean.</t>
        </r>
      </text>
    </comment>
    <comment ref="F12" authorId="0" shapeId="0" xr:uid="{6E744B14-4465-4FEB-8E55-08FD7E733323}">
      <text>
        <r>
          <rPr>
            <b/>
            <sz val="9"/>
            <color indexed="81"/>
            <rFont val="Tahoma"/>
            <family val="2"/>
          </rPr>
          <t>Simon Dawes:</t>
        </r>
        <r>
          <rPr>
            <sz val="9"/>
            <color indexed="81"/>
            <rFont val="Tahoma"/>
            <family val="2"/>
          </rPr>
          <t xml:space="preserve">
skewness is a measure of the asymmetry of the probability distribution of a real-valued random variable. The skewness value can be positive or negative, or even undefined. Qualitatively, a negative skew indicates that the tail on the left side of the probability density function is longer than the right side and the bulk of the values (possibly including the median) lie to the right of the mean. A positive skew indicates that the tail on the right side is longer than the left side and the bulk of the values lie to the left of the mean. A zero value indicates that the values are relatively evenly distributed on both sides of the mean, typically but not necessarily implying a symmetric distribution.
</t>
        </r>
      </text>
    </comment>
    <comment ref="G13" authorId="0" shapeId="0" xr:uid="{09EAA79A-2492-44AA-8923-EDBD92A14BF3}">
      <text>
        <r>
          <rPr>
            <b/>
            <sz val="9"/>
            <color indexed="81"/>
            <rFont val="Tahoma"/>
            <family val="2"/>
          </rPr>
          <t>Simon Dawes:</t>
        </r>
        <r>
          <rPr>
            <sz val="9"/>
            <color indexed="81"/>
            <rFont val="Tahoma"/>
            <family val="2"/>
          </rPr>
          <t xml:space="preserve">
You generally shouldn't change this</t>
        </r>
      </text>
    </comment>
    <comment ref="G33" authorId="0" shapeId="0" xr:uid="{A7C8FEA4-519F-4FFA-8002-AF7127E0E86C}">
      <text>
        <r>
          <rPr>
            <b/>
            <sz val="9"/>
            <color indexed="81"/>
            <rFont val="Tahoma"/>
            <family val="2"/>
          </rPr>
          <t>Author:</t>
        </r>
        <r>
          <rPr>
            <sz val="9"/>
            <color indexed="81"/>
            <rFont val="Tahoma"/>
            <family val="2"/>
          </rPr>
          <t xml:space="preserve">
If you change this you will have to edit the source data for the chart and check the formulae in the cells</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tc={AB6005C4-0FCC-4A5B-AD87-BD6236319D6F}</author>
  </authors>
  <commentList>
    <comment ref="C29" authorId="0" shapeId="0" xr:uid="{AB6005C4-0FCC-4A5B-AD87-BD6236319D6F}">
      <text>
        <t>[Threaded comment]
Your version of Excel allows you to read this threaded comment; however, any edits to it will get removed if the file is opened in a newer version of Excel. Learn more: https://go.microsoft.com/fwlink/?linkid=870924
Comment:
    This is the data populating the AD p-value in the graphical summary sheet</t>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tc={97F421A3-C2C1-4F65-B8B4-6EB46CEBE715}</author>
  </authors>
  <commentList>
    <comment ref="F1" authorId="0" shapeId="0" xr:uid="{97F421A3-C2C1-4F65-B8B4-6EB46CEBE715}">
      <text>
        <t>[Threaded comment]
Your version of Excel allows you to read this threaded comment; however, any edits to it will get removed if the file is opened in a newer version of Excel. Learn more: https://go.microsoft.com/fwlink/?linkid=870924
Comment:
    Use for "monitored" KPIs</t>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tc={DB93FAAF-E1FD-405E-AA90-205B47B2D8EB}</author>
  </authors>
  <commentList>
    <comment ref="A3" authorId="0" shapeId="0" xr:uid="{DB93FAAF-E1FD-405E-AA90-205B47B2D8EB}">
      <text>
        <t>[Threaded comment]
Your version of Excel allows you to read this threaded comment; however, any edits to it will get removed if the file is opened in a newer version of Excel. Learn more: https://go.microsoft.com/fwlink/?linkid=870924
Comment:
    Consider splitting in 2 columns if it is easier (1 for process steps, 1 for process inputs)</t>
      </text>
    </comment>
  </commentList>
</comments>
</file>

<file path=xl/sharedStrings.xml><?xml version="1.0" encoding="utf-8"?>
<sst xmlns="http://schemas.openxmlformats.org/spreadsheetml/2006/main" count="1809" uniqueCount="1279">
  <si>
    <t>Yes</t>
  </si>
  <si>
    <t>No</t>
  </si>
  <si>
    <t>3 or more</t>
  </si>
  <si>
    <r>
      <rPr>
        <b/>
        <sz val="11"/>
        <color theme="1"/>
        <rFont val="Calibri"/>
        <family val="2"/>
        <scheme val="minor"/>
      </rPr>
      <t>This workbook includes common templates for lean six sigma tools.  Please follow the instructions in the sheet / ask your coach.</t>
    </r>
    <r>
      <rPr>
        <sz val="11"/>
        <color theme="1"/>
        <rFont val="Calibri"/>
        <family val="2"/>
        <scheme val="minor"/>
      </rPr>
      <t xml:space="preserve">
MS Excel has some statistical analysis capabilities but you will need to install the analysis pack to make the most of it  - see instructions below - to use some of the worksheets.  Most worksheets are independent of each other.</t>
    </r>
  </si>
  <si>
    <t>Please don't change cells with red text</t>
  </si>
  <si>
    <t>xyz</t>
  </si>
  <si>
    <r>
      <t>This is an</t>
    </r>
    <r>
      <rPr>
        <b/>
        <sz val="11"/>
        <color theme="1"/>
        <rFont val="Calibri"/>
        <family val="2"/>
        <scheme val="minor"/>
      </rPr>
      <t xml:space="preserve"> input</t>
    </r>
    <r>
      <rPr>
        <sz val="11"/>
        <color theme="1"/>
        <rFont val="Calibri"/>
        <family val="2"/>
        <scheme val="minor"/>
      </rPr>
      <t xml:space="preserve"> cell/column:  Enter data for calculation or information for graphs</t>
    </r>
  </si>
  <si>
    <r>
      <t xml:space="preserve">This is a </t>
    </r>
    <r>
      <rPr>
        <b/>
        <sz val="11"/>
        <color theme="1"/>
        <rFont val="Calibri"/>
        <family val="2"/>
        <scheme val="minor"/>
      </rPr>
      <t xml:space="preserve">calculated cell </t>
    </r>
    <r>
      <rPr>
        <sz val="11"/>
        <color theme="1"/>
        <rFont val="Calibri"/>
        <family val="2"/>
        <scheme val="minor"/>
      </rPr>
      <t>which includes a formula, not advised to change without due cause</t>
    </r>
  </si>
  <si>
    <t>Installing the Analysis ToolPak in MS Excel</t>
  </si>
  <si>
    <t>The Analysis ToolPak is a Microsoft Excel add-in (add-in: A supplemental program that adds custom commands or custom features to Microsoft Office.) program that is available when you install Microsoft Office or Excel. To use it in Excel, however, you need to load it first.</t>
  </si>
  <si>
    <r>
      <t xml:space="preserve">1. Click the </t>
    </r>
    <r>
      <rPr>
        <b/>
        <sz val="11"/>
        <color rgb="FF454545"/>
        <rFont val="Calibri"/>
        <family val="2"/>
        <scheme val="minor"/>
      </rPr>
      <t>File</t>
    </r>
    <r>
      <rPr>
        <sz val="11"/>
        <color rgb="FF454545"/>
        <rFont val="Calibri"/>
        <family val="2"/>
        <scheme val="minor"/>
      </rPr>
      <t xml:space="preserve"> tab, and then click </t>
    </r>
    <r>
      <rPr>
        <b/>
        <sz val="11"/>
        <color rgb="FF454545"/>
        <rFont val="Calibri"/>
        <family val="2"/>
        <scheme val="minor"/>
      </rPr>
      <t>Options</t>
    </r>
    <r>
      <rPr>
        <sz val="11"/>
        <color rgb="FF454545"/>
        <rFont val="Calibri"/>
        <family val="2"/>
        <scheme val="minor"/>
      </rPr>
      <t>.</t>
    </r>
  </si>
  <si>
    <r>
      <t xml:space="preserve">2. Click </t>
    </r>
    <r>
      <rPr>
        <b/>
        <sz val="11"/>
        <color rgb="FF454545"/>
        <rFont val="Calibri"/>
        <family val="2"/>
        <scheme val="minor"/>
      </rPr>
      <t>Add-Ins</t>
    </r>
    <r>
      <rPr>
        <sz val="11"/>
        <color rgb="FF454545"/>
        <rFont val="Calibri"/>
        <family val="2"/>
        <scheme val="minor"/>
      </rPr>
      <t xml:space="preserve">, and then in the </t>
    </r>
    <r>
      <rPr>
        <b/>
        <sz val="11"/>
        <color rgb="FF454545"/>
        <rFont val="Calibri"/>
        <family val="2"/>
        <scheme val="minor"/>
      </rPr>
      <t>Manage</t>
    </r>
    <r>
      <rPr>
        <sz val="11"/>
        <color rgb="FF454545"/>
        <rFont val="Calibri"/>
        <family val="2"/>
        <scheme val="minor"/>
      </rPr>
      <t xml:space="preserve"> box, select </t>
    </r>
    <r>
      <rPr>
        <b/>
        <sz val="11"/>
        <color rgb="FF454545"/>
        <rFont val="Calibri"/>
        <family val="2"/>
        <scheme val="minor"/>
      </rPr>
      <t>Excel Add-ins</t>
    </r>
    <r>
      <rPr>
        <sz val="11"/>
        <color rgb="FF454545"/>
        <rFont val="Calibri"/>
        <family val="2"/>
        <scheme val="minor"/>
      </rPr>
      <t>.</t>
    </r>
  </si>
  <si>
    <r>
      <t xml:space="preserve">3. Click </t>
    </r>
    <r>
      <rPr>
        <b/>
        <sz val="11"/>
        <color rgb="FF454545"/>
        <rFont val="Calibri"/>
        <family val="2"/>
        <scheme val="minor"/>
      </rPr>
      <t>Go</t>
    </r>
    <r>
      <rPr>
        <sz val="11"/>
        <color rgb="FF454545"/>
        <rFont val="Calibri"/>
        <family val="2"/>
        <scheme val="minor"/>
      </rPr>
      <t>.</t>
    </r>
  </si>
  <si>
    <r>
      <t xml:space="preserve">4. In the </t>
    </r>
    <r>
      <rPr>
        <b/>
        <sz val="11"/>
        <color rgb="FF454545"/>
        <rFont val="Calibri"/>
        <family val="2"/>
        <scheme val="minor"/>
      </rPr>
      <t>Add-Ins available</t>
    </r>
    <r>
      <rPr>
        <sz val="11"/>
        <color rgb="FF454545"/>
        <rFont val="Calibri"/>
        <family val="2"/>
        <scheme val="minor"/>
      </rPr>
      <t xml:space="preserve"> box, select the </t>
    </r>
    <r>
      <rPr>
        <b/>
        <sz val="11"/>
        <color rgb="FF454545"/>
        <rFont val="Calibri"/>
        <family val="2"/>
        <scheme val="minor"/>
      </rPr>
      <t>Analysis ToolPak</t>
    </r>
    <r>
      <rPr>
        <sz val="11"/>
        <color rgb="FF454545"/>
        <rFont val="Calibri"/>
        <family val="2"/>
        <scheme val="minor"/>
      </rPr>
      <t xml:space="preserve"> check box, and then click </t>
    </r>
    <r>
      <rPr>
        <b/>
        <sz val="11"/>
        <color rgb="FF454545"/>
        <rFont val="Calibri"/>
        <family val="2"/>
        <scheme val="minor"/>
      </rPr>
      <t>OK</t>
    </r>
    <r>
      <rPr>
        <sz val="11"/>
        <color rgb="FF454545"/>
        <rFont val="Calibri"/>
        <family val="2"/>
        <scheme val="minor"/>
      </rPr>
      <t>.</t>
    </r>
  </si>
  <si>
    <r>
      <t xml:space="preserve">1. Tip: </t>
    </r>
    <r>
      <rPr>
        <sz val="11"/>
        <color rgb="FF454545"/>
        <rFont val="Calibri"/>
        <family val="2"/>
        <scheme val="minor"/>
      </rPr>
      <t xml:space="preserve">If </t>
    </r>
    <r>
      <rPr>
        <b/>
        <sz val="11"/>
        <color rgb="FF454545"/>
        <rFont val="Calibri"/>
        <family val="2"/>
        <scheme val="minor"/>
      </rPr>
      <t>Analysis ToolPak</t>
    </r>
    <r>
      <rPr>
        <sz val="11"/>
        <color rgb="FF454545"/>
        <rFont val="Calibri"/>
        <family val="2"/>
        <scheme val="minor"/>
      </rPr>
      <t xml:space="preserve"> is not listed in the </t>
    </r>
    <r>
      <rPr>
        <b/>
        <sz val="11"/>
        <color rgb="FF454545"/>
        <rFont val="Calibri"/>
        <family val="2"/>
        <scheme val="minor"/>
      </rPr>
      <t>Add-Ins available</t>
    </r>
    <r>
      <rPr>
        <sz val="11"/>
        <color rgb="FF454545"/>
        <rFont val="Calibri"/>
        <family val="2"/>
        <scheme val="minor"/>
      </rPr>
      <t xml:space="preserve"> box, click </t>
    </r>
    <r>
      <rPr>
        <b/>
        <sz val="11"/>
        <color rgb="FF454545"/>
        <rFont val="Calibri"/>
        <family val="2"/>
        <scheme val="minor"/>
      </rPr>
      <t>Browse</t>
    </r>
    <r>
      <rPr>
        <sz val="11"/>
        <color rgb="FF454545"/>
        <rFont val="Calibri"/>
        <family val="2"/>
        <scheme val="minor"/>
      </rPr>
      <t xml:space="preserve"> to locate it.</t>
    </r>
  </si>
  <si>
    <r>
      <t xml:space="preserve">2. If you get prompted that the Analysis ToolPak is not currently installed on your computer, click </t>
    </r>
    <r>
      <rPr>
        <b/>
        <sz val="11"/>
        <color rgb="FF454545"/>
        <rFont val="Calibri"/>
        <family val="2"/>
        <scheme val="minor"/>
      </rPr>
      <t>Yes</t>
    </r>
    <r>
      <rPr>
        <sz val="11"/>
        <color rgb="FF454545"/>
        <rFont val="Calibri"/>
        <family val="2"/>
        <scheme val="minor"/>
      </rPr>
      <t xml:space="preserve"> to install it.</t>
    </r>
  </si>
  <si>
    <r>
      <t>5. After you load the Analysis ToolPak, you should see the "Analyse data" on the 'Home' menu, and the  '</t>
    </r>
    <r>
      <rPr>
        <b/>
        <sz val="11"/>
        <color rgb="FF454545"/>
        <rFont val="Calibri"/>
        <family val="2"/>
        <scheme val="minor"/>
      </rPr>
      <t>Data Analysis'</t>
    </r>
    <r>
      <rPr>
        <sz val="11"/>
        <color rgb="FF454545"/>
        <rFont val="Calibri"/>
        <family val="2"/>
        <scheme val="minor"/>
      </rPr>
      <t xml:space="preserve"> options in the 'Data' menu.</t>
    </r>
  </si>
  <si>
    <t>Included in this file (note: a number of tools are used in more than one section, this file only contain 1 sheet per tool, so you will need to duplicate as needed)</t>
  </si>
  <si>
    <t>Use throughout project +</t>
  </si>
  <si>
    <t>DEFINE</t>
  </si>
  <si>
    <t>MEASURE</t>
  </si>
  <si>
    <t>ANALYSE</t>
  </si>
  <si>
    <t>IMPROVE</t>
  </si>
  <si>
    <t>CONTROL</t>
  </si>
  <si>
    <t>Charter</t>
  </si>
  <si>
    <t>SIPOC</t>
  </si>
  <si>
    <t>Cause &amp; Effect (diagram &amp; matrix)</t>
  </si>
  <si>
    <t>Hypothesis Testing</t>
  </si>
  <si>
    <t>Affinity Diagram</t>
  </si>
  <si>
    <t>Control plan</t>
  </si>
  <si>
    <t>RACI</t>
  </si>
  <si>
    <t>CTQ tree</t>
  </si>
  <si>
    <t>Process walkthrough</t>
  </si>
  <si>
    <t>Box plots</t>
  </si>
  <si>
    <t>Force field analysis</t>
  </si>
  <si>
    <t>Continuous GRR</t>
  </si>
  <si>
    <t>Governance</t>
  </si>
  <si>
    <t>FMEA</t>
  </si>
  <si>
    <t>Pareto Chart</t>
  </si>
  <si>
    <t>Pick chart</t>
  </si>
  <si>
    <t>Graphical summary</t>
  </si>
  <si>
    <t>Stakeholder Plan</t>
  </si>
  <si>
    <t>5S audit worksheet</t>
  </si>
  <si>
    <t>Chi Quare</t>
  </si>
  <si>
    <t>Prioritisation matrix</t>
  </si>
  <si>
    <t>AD Normality test</t>
  </si>
  <si>
    <t>Communication Plan</t>
  </si>
  <si>
    <t>Data collection plan</t>
  </si>
  <si>
    <t>F test</t>
  </si>
  <si>
    <t>Pugh Matrix</t>
  </si>
  <si>
    <t>Control charts</t>
  </si>
  <si>
    <t>Risk Plan</t>
  </si>
  <si>
    <t>Basic Sample size calculator</t>
  </si>
  <si>
    <t>Moods Median</t>
  </si>
  <si>
    <t>Process capability / Performance scorecard</t>
  </si>
  <si>
    <t>Project Plan</t>
  </si>
  <si>
    <t>2-sample t-test</t>
  </si>
  <si>
    <t>Benefits / Business case</t>
  </si>
  <si>
    <t>Correlation</t>
  </si>
  <si>
    <t>Project Report (A3 / A3 thinking)</t>
  </si>
  <si>
    <t>Simple regression</t>
  </si>
  <si>
    <t>CI Calc</t>
  </si>
  <si>
    <t>Selecting a control chart</t>
  </si>
  <si>
    <t>I &amp; mR chart</t>
  </si>
  <si>
    <t>P chart</t>
  </si>
  <si>
    <t>np Chart</t>
  </si>
  <si>
    <t>U chart</t>
  </si>
  <si>
    <t>C chart</t>
  </si>
  <si>
    <t>Xbar input data worksheet</t>
  </si>
  <si>
    <t>Xbar &amp; mR chart</t>
  </si>
  <si>
    <t>Discrete process capability calculator</t>
  </si>
  <si>
    <t>Activities</t>
  </si>
  <si>
    <r>
      <rPr>
        <b/>
        <sz val="11"/>
        <color theme="1"/>
        <rFont val="Calibri"/>
        <family val="2"/>
        <scheme val="minor"/>
      </rPr>
      <t>1.</t>
    </r>
    <r>
      <rPr>
        <sz val="11"/>
        <color theme="1"/>
        <rFont val="Calibri"/>
        <family val="2"/>
        <scheme val="minor"/>
      </rPr>
      <t xml:space="preserve"> Develop project selection &amp; Scope</t>
    </r>
  </si>
  <si>
    <r>
      <rPr>
        <b/>
        <sz val="11"/>
        <color theme="1"/>
        <rFont val="Calibri"/>
        <family val="2"/>
        <scheme val="minor"/>
      </rPr>
      <t xml:space="preserve">5. </t>
    </r>
    <r>
      <rPr>
        <sz val="11"/>
        <color theme="1"/>
        <rFont val="Calibri"/>
        <family val="2"/>
        <scheme val="minor"/>
      </rPr>
      <t>Map the process</t>
    </r>
  </si>
  <si>
    <r>
      <rPr>
        <b/>
        <sz val="11"/>
        <color theme="1"/>
        <rFont val="Calibri"/>
        <family val="2"/>
        <scheme val="minor"/>
      </rPr>
      <t xml:space="preserve">9. </t>
    </r>
    <r>
      <rPr>
        <sz val="11"/>
        <color theme="1"/>
        <rFont val="Calibri"/>
        <family val="2"/>
        <scheme val="minor"/>
      </rPr>
      <t>Develop the hypotheses of potential root causes</t>
    </r>
  </si>
  <si>
    <r>
      <rPr>
        <b/>
        <sz val="11"/>
        <color theme="1"/>
        <rFont val="Calibri"/>
        <family val="2"/>
        <scheme val="minor"/>
      </rPr>
      <t xml:space="preserve">12. </t>
    </r>
    <r>
      <rPr>
        <sz val="11"/>
        <color theme="1"/>
        <rFont val="Calibri"/>
        <family val="2"/>
        <scheme val="minor"/>
      </rPr>
      <t>Generate potential improvement &amp; select solutions</t>
    </r>
  </si>
  <si>
    <r>
      <rPr>
        <b/>
        <sz val="11"/>
        <color theme="1"/>
        <rFont val="Calibri"/>
        <family val="2"/>
        <scheme val="minor"/>
      </rPr>
      <t xml:space="preserve">15. </t>
    </r>
    <r>
      <rPr>
        <sz val="11"/>
        <color theme="1"/>
        <rFont val="Calibri"/>
        <family val="2"/>
        <scheme val="minor"/>
      </rPr>
      <t>Implement control plan &amp; standardise the solution</t>
    </r>
  </si>
  <si>
    <r>
      <rPr>
        <b/>
        <sz val="11"/>
        <color theme="1"/>
        <rFont val="Calibri"/>
        <family val="2"/>
        <scheme val="minor"/>
      </rPr>
      <t xml:space="preserve">2. </t>
    </r>
    <r>
      <rPr>
        <sz val="11"/>
        <color theme="1"/>
        <rFont val="Calibri"/>
        <family val="2"/>
        <scheme val="minor"/>
      </rPr>
      <t>Problem definition</t>
    </r>
  </si>
  <si>
    <r>
      <rPr>
        <b/>
        <sz val="11"/>
        <color theme="1"/>
        <rFont val="Calibri"/>
        <family val="2"/>
        <scheme val="minor"/>
      </rPr>
      <t xml:space="preserve">6. </t>
    </r>
    <r>
      <rPr>
        <sz val="11"/>
        <color theme="1"/>
        <rFont val="Calibri"/>
        <family val="2"/>
        <scheme val="minor"/>
      </rPr>
      <t>Identify potential root causes</t>
    </r>
  </si>
  <si>
    <r>
      <rPr>
        <b/>
        <sz val="11"/>
        <color theme="1"/>
        <rFont val="Calibri"/>
        <family val="2"/>
        <scheme val="minor"/>
      </rPr>
      <t xml:space="preserve">10. </t>
    </r>
    <r>
      <rPr>
        <sz val="11"/>
        <color theme="1"/>
        <rFont val="Calibri"/>
        <family val="2"/>
        <scheme val="minor"/>
      </rPr>
      <t>Validate the root causes and quantify their impact on performance</t>
    </r>
  </si>
  <si>
    <r>
      <rPr>
        <b/>
        <sz val="11"/>
        <color theme="1"/>
        <rFont val="Calibri"/>
        <family val="2"/>
        <scheme val="minor"/>
      </rPr>
      <t xml:space="preserve">13. </t>
    </r>
    <r>
      <rPr>
        <sz val="11"/>
        <color theme="1"/>
        <rFont val="Calibri"/>
        <family val="2"/>
        <scheme val="minor"/>
      </rPr>
      <t>Assess risk and update process</t>
    </r>
  </si>
  <si>
    <r>
      <rPr>
        <b/>
        <sz val="11"/>
        <color theme="1"/>
        <rFont val="Calibri"/>
        <family val="2"/>
        <scheme val="minor"/>
      </rPr>
      <t xml:space="preserve">16. </t>
    </r>
    <r>
      <rPr>
        <sz val="11"/>
        <color theme="1"/>
        <rFont val="Calibri"/>
        <family val="2"/>
        <scheme val="minor"/>
      </rPr>
      <t>Measure new process: stability and capability</t>
    </r>
  </si>
  <si>
    <r>
      <rPr>
        <b/>
        <sz val="11"/>
        <color theme="1"/>
        <rFont val="Calibri"/>
        <family val="2"/>
        <scheme val="minor"/>
      </rPr>
      <t>3.</t>
    </r>
    <r>
      <rPr>
        <sz val="11"/>
        <color theme="1"/>
        <rFont val="Calibri"/>
        <family val="2"/>
        <scheme val="minor"/>
      </rPr>
      <t xml:space="preserve"> Determine customers needs</t>
    </r>
  </si>
  <si>
    <r>
      <rPr>
        <b/>
        <sz val="11"/>
        <color theme="1"/>
        <rFont val="Calibri"/>
        <family val="2"/>
        <scheme val="minor"/>
      </rPr>
      <t xml:space="preserve">7. </t>
    </r>
    <r>
      <rPr>
        <sz val="11"/>
        <color theme="1"/>
        <rFont val="Calibri"/>
        <family val="2"/>
        <scheme val="minor"/>
      </rPr>
      <t>Plan the data collection &amp; Validate measurement system (collect data)</t>
    </r>
  </si>
  <si>
    <r>
      <rPr>
        <b/>
        <sz val="11"/>
        <color theme="1"/>
        <rFont val="Calibri"/>
        <family val="2"/>
        <scheme val="minor"/>
      </rPr>
      <t xml:space="preserve">11. </t>
    </r>
    <r>
      <rPr>
        <sz val="11"/>
        <color theme="1"/>
        <rFont val="Calibri"/>
        <family val="2"/>
        <scheme val="minor"/>
      </rPr>
      <t>Secondary data collection and analysis if needed</t>
    </r>
  </si>
  <si>
    <r>
      <rPr>
        <b/>
        <sz val="11"/>
        <color theme="1"/>
        <rFont val="Calibri"/>
        <family val="2"/>
        <scheme val="minor"/>
      </rPr>
      <t xml:space="preserve">14. </t>
    </r>
    <r>
      <rPr>
        <sz val="11"/>
        <color theme="1"/>
        <rFont val="Calibri"/>
        <family val="2"/>
        <scheme val="minor"/>
      </rPr>
      <t>Pilot solution &amp; plan implementation</t>
    </r>
  </si>
  <si>
    <r>
      <rPr>
        <b/>
        <sz val="11"/>
        <color theme="1"/>
        <rFont val="Calibri"/>
        <family val="2"/>
        <scheme val="minor"/>
      </rPr>
      <t xml:space="preserve">17. </t>
    </r>
    <r>
      <rPr>
        <sz val="11"/>
        <color theme="1"/>
        <rFont val="Calibri"/>
        <family val="2"/>
        <scheme val="minor"/>
      </rPr>
      <t>Document and hand-over</t>
    </r>
  </si>
  <si>
    <r>
      <rPr>
        <b/>
        <sz val="11"/>
        <color theme="1"/>
        <rFont val="Calibri"/>
        <family val="2"/>
        <scheme val="minor"/>
      </rPr>
      <t xml:space="preserve">4. </t>
    </r>
    <r>
      <rPr>
        <sz val="11"/>
        <color theme="1"/>
        <rFont val="Calibri"/>
        <family val="2"/>
        <scheme val="minor"/>
      </rPr>
      <t>Project &amp; change management planning</t>
    </r>
  </si>
  <si>
    <r>
      <rPr>
        <b/>
        <sz val="11"/>
        <color theme="1"/>
        <rFont val="Calibri"/>
        <family val="2"/>
        <scheme val="minor"/>
      </rPr>
      <t xml:space="preserve">8. </t>
    </r>
    <r>
      <rPr>
        <sz val="11"/>
        <color theme="1"/>
        <rFont val="Calibri"/>
        <family val="2"/>
        <scheme val="minor"/>
      </rPr>
      <t>Baseline  current process:  stability &amp; capability</t>
    </r>
  </si>
  <si>
    <t>Deliverables</t>
  </si>
  <si>
    <t>Project charter</t>
  </si>
  <si>
    <t>Detailed process map(s)</t>
  </si>
  <si>
    <t>Prioritised list of factors and their quantified effects on the process performance</t>
  </si>
  <si>
    <t>Updated process map(s)</t>
  </si>
  <si>
    <t>Control plan with monitoring dashboard</t>
  </si>
  <si>
    <t>HL Process map</t>
  </si>
  <si>
    <t>List of potential root causes</t>
  </si>
  <si>
    <t>Standard work/procedures</t>
  </si>
  <si>
    <t>VoC &amp; CTQs</t>
  </si>
  <si>
    <t xml:space="preserve">Agreed data collection plan </t>
  </si>
  <si>
    <t>Updated charter and benefits definitions, etc.</t>
  </si>
  <si>
    <t>Solution report with target performance &amp; benefits (incl. HL implementation plan)</t>
  </si>
  <si>
    <t>New process performance</t>
  </si>
  <si>
    <t>Mobilised team</t>
  </si>
  <si>
    <t>Measurement System Analysis results</t>
  </si>
  <si>
    <t>Revised benefit estimates</t>
  </si>
  <si>
    <t>Benefits realisation</t>
  </si>
  <si>
    <t>Risk assessment</t>
  </si>
  <si>
    <t>Current process performance</t>
  </si>
  <si>
    <t>Documented hand-over</t>
  </si>
  <si>
    <t>Business case</t>
  </si>
  <si>
    <t>Revised charter and benefits definition</t>
  </si>
  <si>
    <t>Project plan</t>
  </si>
  <si>
    <t>Tools</t>
  </si>
  <si>
    <t>Process maps</t>
  </si>
  <si>
    <t>Value stream map</t>
  </si>
  <si>
    <t>Brainstorming &amp; idea generation techniques</t>
  </si>
  <si>
    <t>Standard work /procedures</t>
  </si>
  <si>
    <t>Fishbone (Ishikawa), 5Whys</t>
  </si>
  <si>
    <t>Pareto charts, Scatter plot, and  other graphs</t>
  </si>
  <si>
    <t>Priority matrix</t>
  </si>
  <si>
    <t>Visual management</t>
  </si>
  <si>
    <t xml:space="preserve">Surveys/ interviews, </t>
  </si>
  <si>
    <t>Cause &amp; effect matrix</t>
  </si>
  <si>
    <t>Hypothesis testing</t>
  </si>
  <si>
    <t>DOE</t>
  </si>
  <si>
    <t>SPC</t>
  </si>
  <si>
    <t>Distribution test</t>
  </si>
  <si>
    <t>New Process statistics &amp; capability</t>
  </si>
  <si>
    <t>RACI &amp; Stakeholder analysis</t>
  </si>
  <si>
    <t xml:space="preserve">Data types and Basic Statistics </t>
  </si>
  <si>
    <t>Statistical tests (correlation, chi. Sq., t-tests, test of equal variance, Anova, Median)</t>
  </si>
  <si>
    <t>Governance  &amp; Communication plan</t>
  </si>
  <si>
    <t>5S, andon, poka yoke</t>
  </si>
  <si>
    <t>Sample size calculator</t>
  </si>
  <si>
    <t>Heijunka, SMED</t>
  </si>
  <si>
    <t>Risk &amp; issue log</t>
  </si>
  <si>
    <t>Measurement System Analysis (%GRR)</t>
  </si>
  <si>
    <t>Solution report</t>
  </si>
  <si>
    <t>Control charts / Run Charts</t>
  </si>
  <si>
    <t>HL implementation plan</t>
  </si>
  <si>
    <t>Six Sigma capability calculator</t>
  </si>
  <si>
    <t>Cost Benefits Analysis</t>
  </si>
  <si>
    <t>Project Name</t>
  </si>
  <si>
    <t>Project Manager</t>
  </si>
  <si>
    <t>Start Date</t>
  </si>
  <si>
    <t>Target Completion Date</t>
  </si>
  <si>
    <t>Changes sign-off by &amp; date</t>
  </si>
  <si>
    <t>Benefits realisation sign off by &amp; date</t>
  </si>
  <si>
    <t>Name</t>
  </si>
  <si>
    <t>dd/mm/yy</t>
  </si>
  <si>
    <t>Name - dd/mm/yy</t>
  </si>
  <si>
    <t>Bane - dd/mm/yy</t>
  </si>
  <si>
    <t>Problem description</t>
  </si>
  <si>
    <t>Goal / Objectives</t>
  </si>
  <si>
    <t>Expected Benefits</t>
  </si>
  <si>
    <t>Areas of Improvement</t>
  </si>
  <si>
    <t>Quality</t>
  </si>
  <si>
    <t>Waste / Efficiency</t>
  </si>
  <si>
    <t>Cost  / Revenues</t>
  </si>
  <si>
    <t>Health &amp; Safety</t>
  </si>
  <si>
    <t>Time / Capacity</t>
  </si>
  <si>
    <t>Customer satisfaction</t>
  </si>
  <si>
    <t>Employee Engagement</t>
  </si>
  <si>
    <t>Other:</t>
  </si>
  <si>
    <t>Team</t>
  </si>
  <si>
    <t>Project Sponsor</t>
  </si>
  <si>
    <t>Process Owner</t>
  </si>
  <si>
    <t>Team Members</t>
  </si>
  <si>
    <t>Stakeholders</t>
  </si>
  <si>
    <t>As-is Process</t>
  </si>
  <si>
    <t>Potential root causes</t>
  </si>
  <si>
    <t>Suppliers</t>
  </si>
  <si>
    <t>Inputs</t>
  </si>
  <si>
    <t>Process</t>
  </si>
  <si>
    <t>Outputs</t>
  </si>
  <si>
    <t>Customers</t>
  </si>
  <si>
    <t>Validated root causes</t>
  </si>
  <si>
    <t>Actions &amp; Counter-measures implemented</t>
  </si>
  <si>
    <t>Actions</t>
  </si>
  <si>
    <t>Description</t>
  </si>
  <si>
    <t>Date</t>
  </si>
  <si>
    <t>Owner</t>
  </si>
  <si>
    <t>Status</t>
  </si>
  <si>
    <t>R</t>
  </si>
  <si>
    <t>A</t>
  </si>
  <si>
    <t>G</t>
  </si>
  <si>
    <t>Results &amp; Benefits</t>
  </si>
  <si>
    <t>Lesson Learnt</t>
  </si>
  <si>
    <t>Project Name: [Verb + KPI]</t>
  </si>
  <si>
    <t>As of: [dd/mm/yyyy]</t>
  </si>
  <si>
    <t>Problem statement</t>
  </si>
  <si>
    <t>Opportunities / Objectives</t>
  </si>
  <si>
    <t>The problem statement is the qualified and quantified issues with the product, process or services, with visibility of the time period for context.  This should be phrased in negative terms (i.e. all the bad things about it).  This is a good place to put some of the Cost Of Poor Quality.</t>
  </si>
  <si>
    <t>This should explain the operational metrics CTQ/KPI that will be improve and all the good things about fixing the process.  This should ideally state the baseline (current state) and target (future state).  If applicable split, the targeted deliverable of the process and those from the project.  For a DMAIC project, this should NOT include the solution!</t>
  </si>
  <si>
    <t>Scope</t>
  </si>
  <si>
    <t>Approach /  Risks / Other key info</t>
  </si>
  <si>
    <r>
      <t xml:space="preserve">In Scope:
Out of Scope:
</t>
    </r>
    <r>
      <rPr>
        <i/>
        <sz val="12"/>
        <color theme="0" tint="-0.499984740745262"/>
        <rFont val="Calibri"/>
        <family val="2"/>
        <scheme val="minor"/>
      </rPr>
      <t>From the SIPOC and conversation with your stakeholders, clearly state what is and is not in scope.  This section is often updated as you gain more insights on the process and the problem.  Make sure you keep it up-to-date to ensure everybody is on the same page (i.e., you don’t want stakeholders to misunderstand what you will be working on or not).</t>
    </r>
  </si>
  <si>
    <t>State the approach you plan on using and WHY (see EPA requirement for pass), e.g. root causes unknown or need to validate performance and target and no predefined solution, making it suitable for a DMAIC project, etc.  Include known project risks and any other key info to understand the context of the project not covered in other section.</t>
  </si>
  <si>
    <t>Teams</t>
  </si>
  <si>
    <r>
      <t xml:space="preserve">Customers benefits:
</t>
    </r>
    <r>
      <rPr>
        <i/>
        <sz val="12"/>
        <color theme="0" tint="-0.499984740745262"/>
        <rFont val="Calibri"/>
        <family val="2"/>
        <scheme val="minor"/>
      </rPr>
      <t>At this stage often a brief description is sufficient.  If you have more info, that’s great (just don’t over promise).  These benefits should be the financial translation of improving the operational CTQ / KPI of your objectives and the COPQ of your problem statement</t>
    </r>
    <r>
      <rPr>
        <sz val="12"/>
        <color theme="1"/>
        <rFont val="Calibri"/>
        <family val="2"/>
        <scheme val="minor"/>
      </rPr>
      <t xml:space="preserve">
Business benefits:
Employees benefits:</t>
    </r>
  </si>
  <si>
    <r>
      <rPr>
        <b/>
        <sz val="12"/>
        <color theme="1"/>
        <rFont val="Calibri"/>
        <family val="2"/>
        <scheme val="minor"/>
      </rPr>
      <t>Roles                       |               Name                                      | % utilisation</t>
    </r>
    <r>
      <rPr>
        <sz val="12"/>
        <color theme="1"/>
        <rFont val="Calibri"/>
        <family val="2"/>
        <scheme val="minor"/>
      </rPr>
      <t xml:space="preserve">
Sponsor(s):
Process Owner(s):
Project Manager:
Team Members:
Fin. Controller:
Other Stakeholders:</t>
    </r>
  </si>
  <si>
    <t>Timeline:</t>
  </si>
  <si>
    <r>
      <rPr>
        <b/>
        <sz val="12"/>
        <color theme="1"/>
        <rFont val="Calibri"/>
        <family val="2"/>
        <scheme val="minor"/>
      </rPr>
      <t xml:space="preserve">Start: </t>
    </r>
    <r>
      <rPr>
        <sz val="12"/>
        <color theme="1"/>
        <rFont val="Calibri"/>
        <family val="2"/>
        <scheme val="minor"/>
      </rPr>
      <t xml:space="preserve">dd/mm/yy, </t>
    </r>
    <r>
      <rPr>
        <b/>
        <sz val="12"/>
        <color theme="1"/>
        <rFont val="Calibri"/>
        <family val="2"/>
        <scheme val="minor"/>
      </rPr>
      <t>Define</t>
    </r>
    <r>
      <rPr>
        <sz val="12"/>
        <color theme="1"/>
        <rFont val="Calibri"/>
        <family val="2"/>
        <scheme val="minor"/>
      </rPr>
      <t xml:space="preserve"> dd/mm/yy, </t>
    </r>
    <r>
      <rPr>
        <b/>
        <sz val="12"/>
        <color theme="1"/>
        <rFont val="Calibri"/>
        <family val="2"/>
        <scheme val="minor"/>
      </rPr>
      <t>Measure</t>
    </r>
    <r>
      <rPr>
        <sz val="12"/>
        <color theme="1"/>
        <rFont val="Calibri"/>
        <family val="2"/>
        <scheme val="minor"/>
      </rPr>
      <t xml:space="preserve"> dd/mm/yy,</t>
    </r>
    <r>
      <rPr>
        <b/>
        <sz val="12"/>
        <color theme="1"/>
        <rFont val="Calibri"/>
        <family val="2"/>
        <scheme val="minor"/>
      </rPr>
      <t xml:space="preserve"> Analyse</t>
    </r>
    <r>
      <rPr>
        <sz val="12"/>
        <color theme="1"/>
        <rFont val="Calibri"/>
        <family val="2"/>
        <scheme val="minor"/>
      </rPr>
      <t xml:space="preserve"> dd/mm/yy, </t>
    </r>
    <r>
      <rPr>
        <b/>
        <sz val="12"/>
        <color theme="1"/>
        <rFont val="Calibri"/>
        <family val="2"/>
        <scheme val="minor"/>
      </rPr>
      <t xml:space="preserve">Improve </t>
    </r>
    <r>
      <rPr>
        <sz val="12"/>
        <color theme="1"/>
        <rFont val="Calibri"/>
        <family val="2"/>
        <scheme val="minor"/>
      </rPr>
      <t xml:space="preserve">dd/mm/yy, </t>
    </r>
    <r>
      <rPr>
        <b/>
        <sz val="12"/>
        <color theme="1"/>
        <rFont val="Calibri"/>
        <family val="2"/>
        <scheme val="minor"/>
      </rPr>
      <t>Control</t>
    </r>
    <r>
      <rPr>
        <sz val="12"/>
        <color theme="1"/>
        <rFont val="Calibri"/>
        <family val="2"/>
        <scheme val="minor"/>
      </rPr>
      <t xml:space="preserve"> dd/mm/yy</t>
    </r>
  </si>
  <si>
    <t>[Role]</t>
  </si>
  <si>
    <t>Step 1 Inputs [Adjectives, Nouns]</t>
  </si>
  <si>
    <t>Step 1 [Verb]</t>
  </si>
  <si>
    <t>Step 1 Outputs [Adjectives, Nouns]</t>
  </si>
  <si>
    <t xml:space="preserve">Step 2 Inputs </t>
  </si>
  <si>
    <t>Step 2</t>
  </si>
  <si>
    <t xml:space="preserve">Step 2 Outputs </t>
  </si>
  <si>
    <t>Step 3 Inputs</t>
  </si>
  <si>
    <t>Step 3</t>
  </si>
  <si>
    <t>Step 3 Outputs</t>
  </si>
  <si>
    <t>Project:</t>
  </si>
  <si>
    <t>Xxx</t>
  </si>
  <si>
    <t>As of:</t>
  </si>
  <si>
    <t>dd-mmm-yy</t>
  </si>
  <si>
    <t>Customer's</t>
  </si>
  <si>
    <t>CTQs / KPI</t>
  </si>
  <si>
    <t>CTQ Definition</t>
  </si>
  <si>
    <t>Needs</t>
  </si>
  <si>
    <r>
      <t xml:space="preserve">Rank 
</t>
    </r>
    <r>
      <rPr>
        <sz val="11"/>
        <color theme="1"/>
        <rFont val="Calibri"/>
        <family val="2"/>
      </rPr>
      <t>(1st - n</t>
    </r>
    <r>
      <rPr>
        <vertAlign val="superscript"/>
        <sz val="11"/>
        <color theme="1"/>
        <rFont val="Calibri"/>
        <family val="2"/>
      </rPr>
      <t>th</t>
    </r>
    <r>
      <rPr>
        <sz val="11"/>
        <color theme="1"/>
        <rFont val="Calibri"/>
        <family val="2"/>
      </rPr>
      <t>)</t>
    </r>
  </si>
  <si>
    <r>
      <t xml:space="preserve">Priority 
</t>
    </r>
    <r>
      <rPr>
        <sz val="12"/>
        <color theme="1"/>
        <rFont val="Calibri"/>
        <family val="2"/>
      </rPr>
      <t>(10-1)</t>
    </r>
  </si>
  <si>
    <t>LSL</t>
  </si>
  <si>
    <t>Target</t>
  </si>
  <si>
    <t>USL</t>
  </si>
  <si>
    <t>xxx</t>
  </si>
  <si>
    <t>X</t>
  </si>
  <si>
    <t>#</t>
  </si>
  <si>
    <t>Satisfied Customer</t>
  </si>
  <si>
    <t>Project RACI</t>
  </si>
  <si>
    <t>Role in project</t>
  </si>
  <si>
    <t>Responsibilities</t>
  </si>
  <si>
    <t>Responsible</t>
  </si>
  <si>
    <t>Accountable</t>
  </si>
  <si>
    <t>Consulted</t>
  </si>
  <si>
    <t>Informed</t>
  </si>
  <si>
    <t>Project manager</t>
  </si>
  <si>
    <t>Responsible for the day-to-day management and delivery of the project. Attend all tollgates review.</t>
  </si>
  <si>
    <t>Sponsor</t>
  </si>
  <si>
    <t>Owns the project from a delivery basis, accountable for the business case. Attend all tollgates review.</t>
  </si>
  <si>
    <t>Responsible for supplying resources and resolving relevant issues in his/her area. Ensures that different technology teams are co-ordinated..</t>
  </si>
  <si>
    <t>Team members</t>
  </si>
  <si>
    <t>Have direct interest in and knowledge of the process, will deliver some of the project activities.</t>
  </si>
  <si>
    <t>Financial Controller</t>
  </si>
  <si>
    <t>Validate the business case is using the correct financial standard and is accurate</t>
  </si>
  <si>
    <t>Other Stakeholders</t>
  </si>
  <si>
    <t>Roles to be define within project, typically expert in their respective areas whose inputs will be needed at different points of the project (e.g., IT, HR, H&amp;S, Training, etc..)</t>
  </si>
  <si>
    <t xml:space="preserve">Project Governance </t>
  </si>
  <si>
    <t>Type</t>
  </si>
  <si>
    <t>Purpose</t>
  </si>
  <si>
    <t>Schedule / Frequency</t>
  </si>
  <si>
    <t>Support materials</t>
  </si>
  <si>
    <t>Format</t>
  </si>
  <si>
    <t>Tollgate</t>
  </si>
  <si>
    <t>Review findings, review risks &amp; plans, agree next steps</t>
  </si>
  <si>
    <t>At the end of each phase, dates TBD</t>
  </si>
  <si>
    <t>Updated project presentation</t>
  </si>
  <si>
    <t>Sponsor, Process Owner, Financial Controller + PM</t>
  </si>
  <si>
    <t>Team meeting / F2F</t>
  </si>
  <si>
    <t>Project update</t>
  </si>
  <si>
    <t>Review progress, findings and work out next steps</t>
  </si>
  <si>
    <t>[Frequency] on [days] hh:mm-hh:mm</t>
  </si>
  <si>
    <t>Detailed data, project report template + support materials</t>
  </si>
  <si>
    <t>PM + Team Members</t>
  </si>
  <si>
    <t>Coaching session</t>
  </si>
  <si>
    <t>Detailed data, documented info, tools/ templates completed</t>
  </si>
  <si>
    <t>PM + Coach</t>
  </si>
  <si>
    <t>Ad hoc risk &amp; issues calls</t>
  </si>
  <si>
    <t>Managed escalated risk and issues</t>
  </si>
  <si>
    <t>ad hoc</t>
  </si>
  <si>
    <t>Risk &amp; issue log and other supporting information necessary to make decision</t>
  </si>
  <si>
    <t>Sponsor, Process Owner + PM</t>
  </si>
  <si>
    <t>Current</t>
  </si>
  <si>
    <t>Desired</t>
  </si>
  <si>
    <t>Project role</t>
  </si>
  <si>
    <t>Impact</t>
  </si>
  <si>
    <t>Interest</t>
  </si>
  <si>
    <t>Path</t>
  </si>
  <si>
    <t>Engagement Actions</t>
  </si>
  <si>
    <t>Herbert H</t>
  </si>
  <si>
    <t>Supporting</t>
  </si>
  <si>
    <t>Driving</t>
  </si>
  <si>
    <t>Nurture</t>
  </si>
  <si>
    <t>Openly ask what it would takes to get their full support and work towards delivering this, including  their preferred ways of working</t>
  </si>
  <si>
    <t>Teddy R</t>
  </si>
  <si>
    <t>Complying</t>
  </si>
  <si>
    <t>Develop</t>
  </si>
  <si>
    <t>Understands concerns, engage first in 1-2-1 conversation, then in workshops; actively involve in activity and drawing conclusions</t>
  </si>
  <si>
    <t>John A</t>
  </si>
  <si>
    <t>Watching</t>
  </si>
  <si>
    <t>Don T</t>
  </si>
  <si>
    <t>Resisting</t>
  </si>
  <si>
    <t>Understands concerns and root cause of resistance, engage first in 1-2-1 conversation and use pre-work before engaging in workshop; use circle of influence appropriately</t>
  </si>
  <si>
    <t>Gerry F</t>
  </si>
  <si>
    <t>…</t>
  </si>
  <si>
    <t>Ron R</t>
  </si>
  <si>
    <t>Maintain</t>
  </si>
  <si>
    <t>Other stakeholders</t>
  </si>
  <si>
    <t>- HR</t>
  </si>
  <si>
    <t>George B</t>
  </si>
  <si>
    <t>- IT</t>
  </si>
  <si>
    <t>Bill C</t>
  </si>
  <si>
    <t>- QA/Audit</t>
  </si>
  <si>
    <t>John K</t>
  </si>
  <si>
    <t>Involve in group activity as appropriate; state you appreciation of them acting as ambassadors</t>
  </si>
  <si>
    <t>Project communication plan</t>
  </si>
  <si>
    <t>Date (as of)</t>
  </si>
  <si>
    <t>dd/mm/yyyy</t>
  </si>
  <si>
    <t>Audience</t>
  </si>
  <si>
    <t>Objectives  &amp; desired actions</t>
  </si>
  <si>
    <t>Message content</t>
  </si>
  <si>
    <t>Delivery method/ Channels</t>
  </si>
  <si>
    <t>Frequency</t>
  </si>
  <si>
    <t xml:space="preserve">Date </t>
  </si>
  <si>
    <t>Feedback</t>
  </si>
  <si>
    <t>Entire project team</t>
  </si>
  <si>
    <t>Outcome of tollgates meeting</t>
  </si>
  <si>
    <t>Learnings from phase, decisions, next steps</t>
  </si>
  <si>
    <t>Email with support document</t>
  </si>
  <si>
    <t>Within 2 days of tollgate</t>
  </si>
  <si>
    <t>next date: 30/01/2022</t>
  </si>
  <si>
    <t>Any feedback received whether verbal or written that could be use to self-assess, reflect and improve communication</t>
  </si>
  <si>
    <t>Sponsor, Process owner</t>
  </si>
  <si>
    <t>Actions completed and findings, actions planned and/or in progress, any risk and issues</t>
  </si>
  <si>
    <t>Email + project report template + fortnightly call</t>
  </si>
  <si>
    <t>Every other Friday at 14:00</t>
  </si>
  <si>
    <t>Workshop(s) prep</t>
  </si>
  <si>
    <t>Workshop(s) wrap-up</t>
  </si>
  <si>
    <t>If your organisation has its own template please use it (for example: you can add "Action" and "Decision" to make it a RAID log)</t>
  </si>
  <si>
    <t>Project risk &amp; issue log</t>
  </si>
  <si>
    <t>Programme Risk report 7 keys</t>
  </si>
  <si>
    <t>ID</t>
  </si>
  <si>
    <t>Date Raised</t>
  </si>
  <si>
    <t>R/I</t>
  </si>
  <si>
    <t>Impact (1-5)</t>
  </si>
  <si>
    <t>Likelihood (1-5)</t>
  </si>
  <si>
    <t>Score</t>
  </si>
  <si>
    <t>Next review</t>
  </si>
  <si>
    <t>Actions / Decision</t>
  </si>
  <si>
    <t>Completion/ Decision date</t>
  </si>
  <si>
    <t>Project</t>
  </si>
  <si>
    <t>PM</t>
  </si>
  <si>
    <t>Phase</t>
  </si>
  <si>
    <t>w/c</t>
  </si>
  <si>
    <t>Comments</t>
  </si>
  <si>
    <t>Overall</t>
  </si>
  <si>
    <t>Benefits</t>
  </si>
  <si>
    <t>Resources</t>
  </si>
  <si>
    <t>Time / 
Schedule</t>
  </si>
  <si>
    <t>Risks &amp; Issues</t>
  </si>
  <si>
    <t>Comms</t>
  </si>
  <si>
    <t>Risk, Issue</t>
  </si>
  <si>
    <t>Data, Resources, Workload, Stakeholders, etc…</t>
  </si>
  <si>
    <t>Brief description of problem / root causes</t>
  </si>
  <si>
    <t>Open, WIP, Escalated, Closed</t>
  </si>
  <si>
    <t>Brief description with actors / decision makers</t>
  </si>
  <si>
    <t>ABC</t>
  </si>
  <si>
    <t>CL</t>
  </si>
  <si>
    <t>Analyse</t>
  </si>
  <si>
    <t>Xxxxx</t>
  </si>
  <si>
    <t>DEF</t>
  </si>
  <si>
    <t>FA</t>
  </si>
  <si>
    <t>Improve</t>
  </si>
  <si>
    <t>GHI</t>
  </si>
  <si>
    <t>JK</t>
  </si>
  <si>
    <t>Define</t>
  </si>
  <si>
    <t>JKL</t>
  </si>
  <si>
    <t>RM</t>
  </si>
  <si>
    <t>Control</t>
  </si>
  <si>
    <t>Who</t>
  </si>
  <si>
    <t>Notes</t>
  </si>
  <si>
    <t>June</t>
  </si>
  <si>
    <t>July</t>
  </si>
  <si>
    <t>August</t>
  </si>
  <si>
    <t>September</t>
  </si>
  <si>
    <t>October</t>
  </si>
  <si>
    <t>November</t>
  </si>
  <si>
    <t>Kick-off project</t>
  </si>
  <si>
    <t>Draft project charter</t>
  </si>
  <si>
    <t>Form team</t>
  </si>
  <si>
    <t>Design SIPOC</t>
  </si>
  <si>
    <t>Collect VOC, VOB, VOE and agree CTQs</t>
  </si>
  <si>
    <t>Set-up project governance</t>
  </si>
  <si>
    <t>Sign-off charter</t>
  </si>
  <si>
    <t>Hold tollgate meeting</t>
  </si>
  <si>
    <t>Send Storyboard D-3</t>
  </si>
  <si>
    <t>Measure</t>
  </si>
  <si>
    <t>Create process map</t>
  </si>
  <si>
    <t>Identify potential causes</t>
  </si>
  <si>
    <t>Articulate  &amp; test the data collection plan</t>
  </si>
  <si>
    <t>Interim Measure review</t>
  </si>
  <si>
    <t>Potential root cause, Data collection plan and results from MSA (with any corrective actions needed), JDI)</t>
  </si>
  <si>
    <t>Collect the data</t>
  </si>
  <si>
    <t>Define "As-is" process performance &amp; behaviour</t>
  </si>
  <si>
    <t>Hold Measure tollgate</t>
  </si>
  <si>
    <t>Run statistical test to qualify and quantify root causes</t>
  </si>
  <si>
    <t>Secondary data collection is needed</t>
  </si>
  <si>
    <t>Validate root cause with team</t>
  </si>
  <si>
    <t>Articulate Quick-wins (JDI)</t>
  </si>
  <si>
    <t>Hold Analyse tollgate meeting</t>
  </si>
  <si>
    <t>Implement Quick-wins (JDI)</t>
  </si>
  <si>
    <t>Brainstorm solution</t>
  </si>
  <si>
    <t>Investigate/test feasibility and estimate "To-be" performance</t>
  </si>
  <si>
    <t>Evaluate solutions (costs &amp; benefits)</t>
  </si>
  <si>
    <t>Interim solution review with stakeholder</t>
  </si>
  <si>
    <t>Articulate draft implementation plan</t>
  </si>
  <si>
    <t>Hold tollgate meeting (solution implementation plan)</t>
  </si>
  <si>
    <t>Refine implementation &amp; communication plan</t>
  </si>
  <si>
    <t>Design new process control plan,  SOP &amp; Training materials</t>
  </si>
  <si>
    <t>Launch &amp; monitor new process</t>
  </si>
  <si>
    <t>Collect data and lessons learnt</t>
  </si>
  <si>
    <t>Define new process performance</t>
  </si>
  <si>
    <t>Communicate, celebrate and close project</t>
  </si>
  <si>
    <t>Most organisation have their own template to submit business case - Please ask your manager or contact in Finance</t>
  </si>
  <si>
    <t>The examples below are for illustration purposes only</t>
  </si>
  <si>
    <t>Improvement</t>
  </si>
  <si>
    <t>Primary Benefit type</t>
  </si>
  <si>
    <t>KPI</t>
  </si>
  <si>
    <t>Volume</t>
  </si>
  <si>
    <t>Current Level</t>
  </si>
  <si>
    <t>Target Level</t>
  </si>
  <si>
    <t>Logic</t>
  </si>
  <si>
    <t>Benefits Amounts</t>
  </si>
  <si>
    <t>Source of information</t>
  </si>
  <si>
    <t>Reduce rework</t>
  </si>
  <si>
    <t>Cost savings</t>
  </si>
  <si>
    <t>Tackle the root causes of 80% of the current rework.</t>
  </si>
  <si>
    <t>% of packs reworked in daily production</t>
  </si>
  <si>
    <t>218,335 produced packs per month</t>
  </si>
  <si>
    <t>16% 
(34,934 packs reworked per month</t>
  </si>
  <si>
    <t>4.3% 
(6,987 packs reworked per month)</t>
  </si>
  <si>
    <t>Estimates</t>
  </si>
  <si>
    <t>1 rework = 3 min 
= £0.47 per min * (34,934-6,987) packs
= £13,135 per month</t>
  </si>
  <si>
    <t>=£13,135 * 12 months = £157,620 per annum</t>
  </si>
  <si>
    <t>OEE Dashboard</t>
  </si>
  <si>
    <t>J. Doe</t>
  </si>
  <si>
    <t>Reduce non-compliance</t>
  </si>
  <si>
    <t>Cost avoidance</t>
  </si>
  <si>
    <t>Improve data quality to reduce regulator fines for incorrect billing to customers</t>
  </si>
  <si>
    <t>£ Fine Cost for non-compliance</t>
  </si>
  <si>
    <t>20,000 invoices per month</t>
  </si>
  <si>
    <t>5% defective invoices</t>
  </si>
  <si>
    <t>0.5% defective invoices</t>
  </si>
  <si>
    <t>Regulator warned that if we do not meet the target we will be fine £1.2 million + cost of correct invoices</t>
  </si>
  <si>
    <t>£1.2 million</t>
  </si>
  <si>
    <t>Finance &amp; Accounting reports</t>
  </si>
  <si>
    <t>M. Smith</t>
  </si>
  <si>
    <t>Improve processing time</t>
  </si>
  <si>
    <t>Revenue generation</t>
  </si>
  <si>
    <t>Improve transaction processing time to create capacity for handling more demand</t>
  </si>
  <si>
    <t>Per transaction processing time in minutes</t>
  </si>
  <si>
    <t>70 transactions per cycle</t>
  </si>
  <si>
    <t>15min</t>
  </si>
  <si>
    <t>9min</t>
  </si>
  <si>
    <r>
      <rPr>
        <b/>
        <sz val="12"/>
        <color theme="1"/>
        <rFont val="Calibri"/>
        <family val="2"/>
        <scheme val="minor"/>
      </rPr>
      <t>Capacity created per cycle:</t>
    </r>
    <r>
      <rPr>
        <sz val="12"/>
        <color theme="1"/>
        <rFont val="Calibri"/>
        <family val="2"/>
        <scheme val="minor"/>
      </rPr>
      <t xml:space="preserve"> (15-9) minutes * 70 transactions = 420 minutes
</t>
    </r>
    <r>
      <rPr>
        <b/>
        <sz val="12"/>
        <color theme="1"/>
        <rFont val="Calibri"/>
        <family val="2"/>
        <scheme val="minor"/>
      </rPr>
      <t xml:space="preserve">Cost Saving: </t>
    </r>
    <r>
      <rPr>
        <sz val="12"/>
        <color theme="1"/>
        <rFont val="Calibri"/>
        <family val="2"/>
        <scheme val="minor"/>
      </rPr>
      <t xml:space="preserve">£0.38 per min  * 420 min saved  = £159.6 per cycle. 
</t>
    </r>
    <r>
      <rPr>
        <b/>
        <sz val="12"/>
        <color theme="1"/>
        <rFont val="Calibri"/>
        <family val="2"/>
        <scheme val="minor"/>
      </rPr>
      <t>Revenues</t>
    </r>
    <r>
      <rPr>
        <sz val="12"/>
        <color theme="1"/>
        <rFont val="Calibri"/>
        <family val="2"/>
        <scheme val="minor"/>
      </rPr>
      <t xml:space="preserve"> from handling  additional transaction: 420 min / 9 min = 46.7 additional transactions * £500 per transactions = £23,350 per cycle</t>
    </r>
  </si>
  <si>
    <t>=(£159.6 +£23,350) * 12 cycles = £282,115 per annum</t>
  </si>
  <si>
    <t>Finance monthly report and Team manual tracker</t>
  </si>
  <si>
    <t>T. Woods</t>
  </si>
  <si>
    <t>C&amp;E Matrix template</t>
  </si>
  <si>
    <t>Author: [Enter name]</t>
  </si>
  <si>
    <t>Date started: [Enter date]</t>
  </si>
  <si>
    <t>[Enter Process name]</t>
  </si>
  <si>
    <t>Version: [Enter name]</t>
  </si>
  <si>
    <t>Date completed: [Enter date]</t>
  </si>
  <si>
    <t>High: 9, Medium: 3, Low: 1, None: blank</t>
  </si>
  <si>
    <t>CTQ &amp; Importance</t>
  </si>
  <si>
    <t>Process Step</t>
  </si>
  <si>
    <t>Process Inputs</t>
  </si>
  <si>
    <t>Y1 % good demand</t>
  </si>
  <si>
    <t>Y2 Correct Job Priority</t>
  </si>
  <si>
    <t>Y3 Collect right data</t>
  </si>
  <si>
    <t>Requirement</t>
  </si>
  <si>
    <t>Total</t>
  </si>
  <si>
    <t>Customer contact</t>
  </si>
  <si>
    <t>X1 Script</t>
  </si>
  <si>
    <t>X2 Agent training</t>
  </si>
  <si>
    <t>Assess query</t>
  </si>
  <si>
    <t>X3 Information availability</t>
  </si>
  <si>
    <t>X4 Information accuracy</t>
  </si>
  <si>
    <t>Input XYZ</t>
  </si>
  <si>
    <t>Process Waste Walkthrough: [name]</t>
  </si>
  <si>
    <t>Unit:</t>
  </si>
  <si>
    <t>Minutes</t>
  </si>
  <si>
    <t>Wastes</t>
  </si>
  <si>
    <t>Activity /Process step</t>
  </si>
  <si>
    <t>Cycle time</t>
  </si>
  <si>
    <t>Customer Value Add</t>
  </si>
  <si>
    <t>Essential Non-Value Add</t>
  </si>
  <si>
    <t>Non-Value Add</t>
  </si>
  <si>
    <t>Transportation</t>
  </si>
  <si>
    <t>Inventory</t>
  </si>
  <si>
    <t>Motion</t>
  </si>
  <si>
    <t>Waiting</t>
  </si>
  <si>
    <t>Over-Production</t>
  </si>
  <si>
    <t>Over-Processing</t>
  </si>
  <si>
    <t>Defects</t>
  </si>
  <si>
    <t>Skills</t>
  </si>
  <si>
    <t>Step 1</t>
  </si>
  <si>
    <t>Brief description of issue / waste observed</t>
  </si>
  <si>
    <t>Step 4</t>
  </si>
  <si>
    <t>Step 5</t>
  </si>
  <si>
    <t>Step 6</t>
  </si>
  <si>
    <t>Step 7</t>
  </si>
  <si>
    <t>Step 8</t>
  </si>
  <si>
    <t>Step 9</t>
  </si>
  <si>
    <t>Step 10</t>
  </si>
  <si>
    <t>Step 11</t>
  </si>
  <si>
    <t>Step 12</t>
  </si>
  <si>
    <t>Step 13</t>
  </si>
  <si>
    <t>Step 14</t>
  </si>
  <si>
    <t>Step 15</t>
  </si>
  <si>
    <t>Step 16</t>
  </si>
  <si>
    <t>Step 17</t>
  </si>
  <si>
    <t>% of Total</t>
  </si>
  <si>
    <t>5 S Inspection - [location]</t>
  </si>
  <si>
    <r>
      <rPr>
        <b/>
        <sz val="12"/>
        <color theme="1"/>
        <rFont val="Calibri"/>
        <family val="2"/>
        <scheme val="minor"/>
      </rPr>
      <t xml:space="preserve">Rank A: </t>
    </r>
    <r>
      <rPr>
        <sz val="12"/>
        <color theme="1"/>
        <rFont val="Calibri"/>
        <family val="2"/>
        <scheme val="minor"/>
      </rPr>
      <t xml:space="preserve"> perfect score, </t>
    </r>
    <r>
      <rPr>
        <b/>
        <sz val="12"/>
        <color theme="1"/>
        <rFont val="Calibri"/>
        <family val="2"/>
        <scheme val="minor"/>
      </rPr>
      <t>Rank B:</t>
    </r>
    <r>
      <rPr>
        <sz val="12"/>
        <color theme="1"/>
        <rFont val="Calibri"/>
        <family val="2"/>
        <scheme val="minor"/>
      </rPr>
      <t xml:space="preserve">  1 -&gt; 2 problems found, </t>
    </r>
    <r>
      <rPr>
        <b/>
        <sz val="12"/>
        <color theme="1"/>
        <rFont val="Calibri"/>
        <family val="2"/>
        <scheme val="minor"/>
      </rPr>
      <t>Rank C:</t>
    </r>
    <r>
      <rPr>
        <sz val="12"/>
        <color theme="1"/>
        <rFont val="Calibri"/>
        <family val="2"/>
        <scheme val="minor"/>
      </rPr>
      <t xml:space="preserve">  3 or more problems observed</t>
    </r>
  </si>
  <si>
    <t>Date 1</t>
  </si>
  <si>
    <t>Date 2</t>
  </si>
  <si>
    <t>Category</t>
  </si>
  <si>
    <t>Item</t>
  </si>
  <si>
    <t>B</t>
  </si>
  <si>
    <t>C</t>
  </si>
  <si>
    <t>Distinguish between what is needed and not needed</t>
  </si>
  <si>
    <t>Have all unnecessary items been removed?</t>
  </si>
  <si>
    <t>Are all remaining items neatly arranged?</t>
  </si>
  <si>
    <t>Sort</t>
  </si>
  <si>
    <t>Are walkways and work areas clearly outlined?</t>
  </si>
  <si>
    <t>Seiri</t>
  </si>
  <si>
    <t>Are unneeded items stored in an appropriate place?</t>
  </si>
  <si>
    <t>Does a procedure exist for dispensing unneeded items?</t>
  </si>
  <si>
    <t>Are there any contaminants in the bins?</t>
  </si>
  <si>
    <t>A place for everything and everything in its place</t>
  </si>
  <si>
    <t>Is there a visually marked, specified place for everything?</t>
  </si>
  <si>
    <t>Is everything in its specified place?</t>
  </si>
  <si>
    <t>Set in Order</t>
  </si>
  <si>
    <t>Are standards and limits easily recognisable?</t>
  </si>
  <si>
    <t>Seiton</t>
  </si>
  <si>
    <t>Is it easy to see what needs to be where?</t>
  </si>
  <si>
    <t>Are things put away after use?</t>
  </si>
  <si>
    <t>Cleaning and looking for ways to keep it clean</t>
  </si>
  <si>
    <t>Are work areas clean?</t>
  </si>
  <si>
    <t>Is equipment kept clean?</t>
  </si>
  <si>
    <t>Shine</t>
  </si>
  <si>
    <t>Are cleaning materials easily accessible?</t>
  </si>
  <si>
    <t>Seiso</t>
  </si>
  <si>
    <t>Are cleaning guidelines and schedules easily visible?</t>
  </si>
  <si>
    <t>Are demarcation lines clean and unbroken?</t>
  </si>
  <si>
    <t>Is cleaning used as a form of inspection?</t>
  </si>
  <si>
    <t>Has all waste been placed in correct bins?</t>
  </si>
  <si>
    <t>Make standards obvious and maintained</t>
  </si>
  <si>
    <t>Is all necessary information visible?</t>
  </si>
  <si>
    <t>Standardise</t>
  </si>
  <si>
    <t>Are all standards known and visible?</t>
  </si>
  <si>
    <t>Seiketsu</t>
  </si>
  <si>
    <t>Is there a checklist in the area?</t>
  </si>
  <si>
    <t>Is there a 5S map in the area?</t>
  </si>
  <si>
    <t>Stick to the rules and follow up</t>
  </si>
  <si>
    <t>Does everyone observe standard procedures?</t>
  </si>
  <si>
    <t>Sustain</t>
  </si>
  <si>
    <t>Are red tag procedures followed?</t>
  </si>
  <si>
    <t>Shitsuke</t>
  </si>
  <si>
    <t>Are personal belongings stored neatly?</t>
  </si>
  <si>
    <t>Is the Waste Policy adhered too throughout the site?</t>
  </si>
  <si>
    <t>Sign-off date:</t>
  </si>
  <si>
    <t>[project name]</t>
  </si>
  <si>
    <t>Sign-off by:</t>
  </si>
  <si>
    <t>[Process owner]</t>
  </si>
  <si>
    <t>Type of  data</t>
  </si>
  <si>
    <t>Operational definition</t>
  </si>
  <si>
    <t>When</t>
  </si>
  <si>
    <t>How</t>
  </si>
  <si>
    <t>Why</t>
  </si>
  <si>
    <t>MSA</t>
  </si>
  <si>
    <t>[What input (x) and output (y) measures the team will collect]</t>
  </si>
  <si>
    <t>Discrete or continuous</t>
  </si>
  <si>
    <t>[Description to enable a common understanding and prevention of ambiguity]</t>
  </si>
  <si>
    <t>[Who will collect the data]</t>
  </si>
  <si>
    <t>[The frequency and duration of the sampling]</t>
  </si>
  <si>
    <t>[Link to the data collection form or description of the method &amp; how it will be validated]</t>
  </si>
  <si>
    <t>[how will the data be used, what answer will it answer]</t>
  </si>
  <si>
    <t>How reliable is your data?</t>
  </si>
  <si>
    <t>Y1 xxx</t>
  </si>
  <si>
    <t>Mandatory</t>
  </si>
  <si>
    <t>Y2 xxx</t>
  </si>
  <si>
    <t>Date of data  collection</t>
  </si>
  <si>
    <t>X1  xxx</t>
  </si>
  <si>
    <t>Optional, highly recommended for suspected significant Xs</t>
  </si>
  <si>
    <t>X2  xxx</t>
  </si>
  <si>
    <t>X3  xxx</t>
  </si>
  <si>
    <t>X4  xxx</t>
  </si>
  <si>
    <t>X5  xxx</t>
  </si>
  <si>
    <t>`</t>
  </si>
  <si>
    <t>CONTINUOUS DATA</t>
  </si>
  <si>
    <t>(enter data in their natural unit i.e. minutes, grams, etc.)</t>
  </si>
  <si>
    <t>For information - Mean / Median</t>
  </si>
  <si>
    <t>St Dev</t>
  </si>
  <si>
    <t>Continuous Precision</t>
  </si>
  <si>
    <t>Continuous MSS</t>
  </si>
  <si>
    <r>
      <t>=((2 x standard deviation) / precision)</t>
    </r>
    <r>
      <rPr>
        <vertAlign val="superscript"/>
        <sz val="12"/>
        <color theme="1"/>
        <rFont val="Calibri"/>
        <family val="2"/>
      </rPr>
      <t>2</t>
    </r>
  </si>
  <si>
    <t>Minimum nbr of datapoints suggested to collect</t>
  </si>
  <si>
    <t>DISCRETE DATA</t>
  </si>
  <si>
    <r>
      <t>Proportion of defects in process (</t>
    </r>
    <r>
      <rPr>
        <b/>
        <sz val="12"/>
        <color theme="1"/>
        <rFont val="Calibri"/>
        <family val="2"/>
      </rPr>
      <t>p</t>
    </r>
    <r>
      <rPr>
        <sz val="12"/>
        <color theme="1"/>
        <rFont val="Calibri"/>
        <family val="2"/>
      </rPr>
      <t>)</t>
    </r>
  </si>
  <si>
    <r>
      <t>Precision required (</t>
    </r>
    <r>
      <rPr>
        <b/>
        <sz val="12"/>
        <color theme="1"/>
        <rFont val="Calibri"/>
        <family val="2"/>
      </rPr>
      <t>d</t>
    </r>
    <r>
      <rPr>
        <sz val="12"/>
        <color theme="1"/>
        <rFont val="Calibri"/>
        <family val="2"/>
      </rPr>
      <t>)</t>
    </r>
  </si>
  <si>
    <t>Discrete MSS</t>
  </si>
  <si>
    <r>
      <t>=(2/d)</t>
    </r>
    <r>
      <rPr>
        <vertAlign val="superscript"/>
        <sz val="12"/>
        <color theme="1"/>
        <rFont val="Calibri"/>
        <family val="2"/>
      </rPr>
      <t>2</t>
    </r>
    <r>
      <rPr>
        <sz val="12"/>
        <color theme="1"/>
        <rFont val="Calibri"/>
        <family val="2"/>
      </rPr>
      <t xml:space="preserve">  x p x (1-p) </t>
    </r>
  </si>
  <si>
    <t>Currently set for 10 parts, 2 operators, 2 runs (will also work with as little as 5 parts).  
Enter data in columns B, C, D, and E as applicable</t>
  </si>
  <si>
    <t>Gage R&amp;R Worksheet for Continuous data by Muelaner</t>
  </si>
  <si>
    <t>Part id</t>
  </si>
  <si>
    <t>Operator id</t>
  </si>
  <si>
    <t>Repeat id</t>
  </si>
  <si>
    <t>Measurement</t>
  </si>
  <si>
    <t>Means:</t>
  </si>
  <si>
    <t>Squares for:</t>
  </si>
  <si>
    <t>Two-Way ANOVA Table with Interaction</t>
  </si>
  <si>
    <t>Part</t>
  </si>
  <si>
    <t>Operator</t>
  </si>
  <si>
    <t>Repeatability</t>
  </si>
  <si>
    <t>TOTAL</t>
  </si>
  <si>
    <t>Part*Operator</t>
  </si>
  <si>
    <t>Number of</t>
  </si>
  <si>
    <t>Sum of Squares</t>
  </si>
  <si>
    <t>Degrees of Freedom</t>
  </si>
  <si>
    <t>Mean Squares</t>
  </si>
  <si>
    <t>F</t>
  </si>
  <si>
    <t>P-Value</t>
  </si>
  <si>
    <t>Alpha to test interaction:</t>
  </si>
  <si>
    <t>Two-Way ANOVA Table without Interaction</t>
  </si>
  <si>
    <t>Part-to-part</t>
  </si>
  <si>
    <t>TOTAL Variation</t>
  </si>
  <si>
    <t>Reproducibility</t>
  </si>
  <si>
    <t>TOTAL Gauge R&amp;R</t>
  </si>
  <si>
    <t>Components of Variation</t>
  </si>
  <si>
    <t>Variance (VarComp)</t>
  </si>
  <si>
    <t>R&amp;R %Contribution</t>
  </si>
  <si>
    <t>Standard Deviation</t>
  </si>
  <si>
    <t>R&amp;R %Study Variation</t>
  </si>
  <si>
    <t>No. of Distinct Categories</t>
  </si>
  <si>
    <t>Parts</t>
  </si>
  <si>
    <t>Operator 1</t>
  </si>
  <si>
    <t>Operator 2</t>
  </si>
  <si>
    <t>Grand Mean</t>
  </si>
  <si>
    <t>Gage R&amp;R Example - Copyright Dr Jody Muelaner, 2014
This worksheet and the Gage R&amp;R method it contains may be used freely for personal and business use and may be redistributed by any means provided this statement is included together with a link to the original source. Furthermore any webpage containing a link to a copy of this worksheet or a derivative of it must contain a prominent link to the original source. The link to be used for the original source is:</t>
  </si>
  <si>
    <t>www.muelaner.com/quality-assurance/gage-r-and-r-excel/</t>
  </si>
  <si>
    <t>Data</t>
  </si>
  <si>
    <t>Bins</t>
  </si>
  <si>
    <t>Calculated</t>
  </si>
  <si>
    <t>Expected Normal result</t>
  </si>
  <si>
    <t>Chart Title</t>
  </si>
  <si>
    <t>CTQ  Y1 (baseline)</t>
  </si>
  <si>
    <t>Nbr data point</t>
  </si>
  <si>
    <t>Mean (Xbar)</t>
  </si>
  <si>
    <t>Median</t>
  </si>
  <si>
    <t>Mode</t>
  </si>
  <si>
    <t>StDev (s)</t>
  </si>
  <si>
    <t>Min</t>
  </si>
  <si>
    <t>Max</t>
  </si>
  <si>
    <t>Range (R)</t>
  </si>
  <si>
    <t>Inter-Quartile Range (IQR)</t>
  </si>
  <si>
    <t>Kurtosis</t>
  </si>
  <si>
    <t>Skewness</t>
  </si>
  <si>
    <r>
      <t>Level of significance (</t>
    </r>
    <r>
      <rPr>
        <sz val="11"/>
        <color theme="1"/>
        <rFont val="Calibri"/>
        <family val="2"/>
      </rPr>
      <t>α)</t>
    </r>
  </si>
  <si>
    <t>Confidence Interval of Mean</t>
  </si>
  <si>
    <t>Anderson Darling p-value for Normality Test</t>
  </si>
  <si>
    <t>Data is</t>
  </si>
  <si>
    <t>Boxplot Data</t>
  </si>
  <si>
    <t>Minimum</t>
  </si>
  <si>
    <t>Min Expected Obs</t>
  </si>
  <si>
    <r>
      <t>Lower Quartile (Q1 - 25</t>
    </r>
    <r>
      <rPr>
        <vertAlign val="superscript"/>
        <sz val="11"/>
        <color theme="1"/>
        <rFont val="Calibri"/>
        <family val="2"/>
        <scheme val="minor"/>
      </rPr>
      <t>th%ile</t>
    </r>
    <r>
      <rPr>
        <sz val="11"/>
        <color theme="1"/>
        <rFont val="Calibri"/>
        <family val="2"/>
        <scheme val="minor"/>
      </rPr>
      <t>)</t>
    </r>
  </si>
  <si>
    <r>
      <t>Upper Quartile  (Q3 - 75</t>
    </r>
    <r>
      <rPr>
        <vertAlign val="superscript"/>
        <sz val="11"/>
        <color theme="1"/>
        <rFont val="Calibri"/>
        <family val="2"/>
        <scheme val="minor"/>
      </rPr>
      <t>th%ile</t>
    </r>
    <r>
      <rPr>
        <sz val="11"/>
        <color theme="1"/>
        <rFont val="Calibri"/>
        <family val="2"/>
        <scheme val="minor"/>
      </rPr>
      <t>)</t>
    </r>
  </si>
  <si>
    <t>Max Expected Obs</t>
  </si>
  <si>
    <t>Maximum</t>
  </si>
  <si>
    <t>Standard error</t>
  </si>
  <si>
    <t>Legend of graphical summary</t>
  </si>
  <si>
    <t>Text Box 2</t>
  </si>
  <si>
    <t>Text Box 3</t>
  </si>
  <si>
    <t>Text Box 4</t>
  </si>
  <si>
    <t>Text Box 5</t>
  </si>
  <si>
    <t>Nbr of bins</t>
  </si>
  <si>
    <t>Bin Width</t>
  </si>
  <si>
    <t>Anderson-Darling Normality Test Calculator</t>
  </si>
  <si>
    <t>© 2005 Kevin Otto</t>
  </si>
  <si>
    <t>kevin_n_otto@yahoo.com</t>
  </si>
  <si>
    <t>www.kevinotto.com</t>
  </si>
  <si>
    <t>Please freely distribute and modify, but properly reference and maintain this contact information in the sheet.</t>
  </si>
  <si>
    <t>http://www.kevinotto.com/RSS/templates/Anderson-Darling Normality Test Calculator.xls</t>
  </si>
  <si>
    <t>Version</t>
  </si>
  <si>
    <t xml:space="preserve">This sheet will calculate the Anderson-Darling test statistic that a sample of data is normal.  Enter data into column A.  </t>
  </si>
  <si>
    <t>Keep in mind the test assumes normality, and is looking for sufficient evidence to reject normality.</t>
  </si>
  <si>
    <t>That is, a large p-value (often p &gt; alpha = 0.05) would indicate normality.</t>
  </si>
  <si>
    <t>The spreadsheet is designed to handle up to 500 datapoints, to enter more data simply copy down columns B-G below</t>
  </si>
  <si>
    <t>the 100 rows as needed. ENTER ALL DATA IN COLUMN A, BUT ENTER NO OTHER NUMBERS INTO COLUMN A!</t>
  </si>
  <si>
    <t>Normal Probability Plot</t>
  </si>
  <si>
    <t>OTHER NUMBERS ENTERED WILL CAUSE CALCULATION ERRORS.</t>
  </si>
  <si>
    <t>It is usually easiest to copy your data from somewhere else, and "Edit &gt; Paste Special &gt; Values"</t>
  </si>
  <si>
    <t>If you have more than this, then copy any of the rows 31-128 (such as row 28, for example), and insert</t>
  </si>
  <si>
    <t xml:space="preserve">the copied rows into anywhere in the block between rows 31 to 128 (such as row 31). </t>
  </si>
  <si>
    <t>Don't worry about the "#N/A" in columns B, H, I.</t>
  </si>
  <si>
    <t>Test Hypotheses</t>
  </si>
  <si>
    <r>
      <t>H</t>
    </r>
    <r>
      <rPr>
        <vertAlign val="subscript"/>
        <sz val="10"/>
        <rFont val="Calibri"/>
        <family val="2"/>
        <scheme val="minor"/>
      </rPr>
      <t>0</t>
    </r>
    <r>
      <rPr>
        <sz val="10"/>
        <rFont val="Calibri"/>
        <family val="2"/>
        <scheme val="minor"/>
      </rPr>
      <t>:</t>
    </r>
  </si>
  <si>
    <t>Data is sampled from a population that is normally distributed (no difference between the data and normal data).</t>
  </si>
  <si>
    <r>
      <t>H</t>
    </r>
    <r>
      <rPr>
        <vertAlign val="subscript"/>
        <sz val="10"/>
        <rFont val="Calibri"/>
        <family val="2"/>
        <scheme val="minor"/>
      </rPr>
      <t>A</t>
    </r>
    <r>
      <rPr>
        <sz val="10"/>
        <rFont val="Calibri"/>
        <family val="2"/>
        <scheme val="minor"/>
      </rPr>
      <t>:</t>
    </r>
  </si>
  <si>
    <t>Data is sampled from a population that is not normally distributed.</t>
  </si>
  <si>
    <t>Count OK?</t>
  </si>
  <si>
    <t>Number of data points</t>
  </si>
  <si>
    <t>S</t>
  </si>
  <si>
    <t>Sample Mean</t>
  </si>
  <si>
    <t>Sample Sigma</t>
  </si>
  <si>
    <t>p-value calculations</t>
  </si>
  <si>
    <t>p1</t>
  </si>
  <si>
    <t>AD test statistic</t>
  </si>
  <si>
    <t>p2</t>
  </si>
  <si>
    <t>AD* test statistic</t>
  </si>
  <si>
    <t>p3</t>
  </si>
  <si>
    <t>P-value</t>
  </si>
  <si>
    <t>p4</t>
  </si>
  <si>
    <t>ENTER</t>
  </si>
  <si>
    <t>DATA</t>
  </si>
  <si>
    <t>HERE</t>
  </si>
  <si>
    <t>Sorted</t>
  </si>
  <si>
    <t>Count</t>
  </si>
  <si>
    <t>F1i</t>
  </si>
  <si>
    <t>1-F1i</t>
  </si>
  <si>
    <t>F2i</t>
  </si>
  <si>
    <t>Si</t>
  </si>
  <si>
    <t>N Plt Line</t>
  </si>
  <si>
    <t>Group 1</t>
  </si>
  <si>
    <t>Group 2</t>
  </si>
  <si>
    <t>Group 3</t>
  </si>
  <si>
    <t>Group 4</t>
  </si>
  <si>
    <t>Lower Quintile</t>
  </si>
  <si>
    <t>Upper Quartile</t>
  </si>
  <si>
    <t>CHT (min) Call type A</t>
  </si>
  <si>
    <t>CHT (min) Call type B</t>
  </si>
  <si>
    <t>Company XYZ Security Risk Assessment</t>
  </si>
  <si>
    <t>Value</t>
  </si>
  <si>
    <t>Cumulative Value</t>
  </si>
  <si>
    <t>% value</t>
  </si>
  <si>
    <t>% cumulative</t>
  </si>
  <si>
    <t>Data  Leaks</t>
  </si>
  <si>
    <t>Identity Theft</t>
  </si>
  <si>
    <t>Fraud</t>
  </si>
  <si>
    <t>Malicious Activity</t>
  </si>
  <si>
    <t>Phishing</t>
  </si>
  <si>
    <t>Hacking</t>
  </si>
  <si>
    <t>Ransomware</t>
  </si>
  <si>
    <t>All others</t>
  </si>
  <si>
    <t>input 9</t>
  </si>
  <si>
    <t>input 10</t>
  </si>
  <si>
    <t>Selecting the right control chart for your process &amp; data</t>
  </si>
  <si>
    <t>The blue boxes are hot link to the actual worksheet</t>
  </si>
  <si>
    <t>Obs. ID (in chronological order)</t>
  </si>
  <si>
    <t>Measurements</t>
  </si>
  <si>
    <t>I chart</t>
  </si>
  <si>
    <t>LCL</t>
  </si>
  <si>
    <t>-2 sigma</t>
  </si>
  <si>
    <t>-1 sigma</t>
  </si>
  <si>
    <t>Mean of measurements</t>
  </si>
  <si>
    <t>+1 sigma</t>
  </si>
  <si>
    <t>+2 sigma</t>
  </si>
  <si>
    <t>UCL</t>
  </si>
  <si>
    <t>test1</t>
  </si>
  <si>
    <t>test2</t>
  </si>
  <si>
    <t>test 3</t>
  </si>
  <si>
    <t>moving range (mR)</t>
  </si>
  <si>
    <t>Mean
(mR)</t>
  </si>
  <si>
    <t>Subgroup</t>
  </si>
  <si>
    <r>
      <t>A</t>
    </r>
    <r>
      <rPr>
        <b/>
        <vertAlign val="subscript"/>
        <sz val="12"/>
        <color rgb="FFFF0000"/>
        <rFont val="Calibri"/>
        <family val="2"/>
        <scheme val="minor"/>
      </rPr>
      <t>2</t>
    </r>
  </si>
  <si>
    <r>
      <t>D</t>
    </r>
    <r>
      <rPr>
        <b/>
        <vertAlign val="subscript"/>
        <sz val="12"/>
        <color rgb="FFFF0000"/>
        <rFont val="Calibri"/>
        <family val="2"/>
        <scheme val="minor"/>
      </rPr>
      <t>3</t>
    </r>
  </si>
  <si>
    <r>
      <t>D</t>
    </r>
    <r>
      <rPr>
        <b/>
        <vertAlign val="subscript"/>
        <sz val="12"/>
        <color rgb="FFFF0000"/>
        <rFont val="Calibri"/>
        <family val="2"/>
        <scheme val="minor"/>
      </rPr>
      <t>4</t>
    </r>
  </si>
  <si>
    <r>
      <t>d</t>
    </r>
    <r>
      <rPr>
        <b/>
        <vertAlign val="subscript"/>
        <sz val="12"/>
        <color rgb="FFFF0000"/>
        <rFont val="Calibri"/>
        <family val="2"/>
        <scheme val="minor"/>
      </rPr>
      <t>2</t>
    </r>
  </si>
  <si>
    <t>Size (n)</t>
  </si>
  <si>
    <t>number of defective items</t>
  </si>
  <si>
    <t>sample size</t>
  </si>
  <si>
    <t>Sigma Z</t>
  </si>
  <si>
    <t>These columns manage the 'out of control' marker, they run 5 different tests for processes out of control</t>
  </si>
  <si>
    <t>proportion</t>
  </si>
  <si>
    <t>pbar</t>
  </si>
  <si>
    <t>Process out of control</t>
  </si>
  <si>
    <t>Process out of control (1)</t>
  </si>
  <si>
    <t>Process out of control (2)</t>
  </si>
  <si>
    <t>Run</t>
  </si>
  <si>
    <t>Trend</t>
  </si>
  <si>
    <t>2 sigma</t>
  </si>
  <si>
    <t>1 sigma</t>
  </si>
  <si>
    <t>side</t>
  </si>
  <si>
    <t>trend</t>
  </si>
  <si>
    <t>number of defects</t>
  </si>
  <si>
    <t>Mean</t>
  </si>
  <si>
    <t>change delivered</t>
  </si>
  <si>
    <t>Number of defects</t>
  </si>
  <si>
    <t xml:space="preserve"> </t>
  </si>
  <si>
    <t>Subgroup ID</t>
  </si>
  <si>
    <t>Xbar</t>
  </si>
  <si>
    <t>Number of items in subgroup</t>
  </si>
  <si>
    <t>Range</t>
  </si>
  <si>
    <t>n1</t>
  </si>
  <si>
    <t>n2</t>
  </si>
  <si>
    <t>n3</t>
  </si>
  <si>
    <t>n4</t>
  </si>
  <si>
    <t>n5</t>
  </si>
  <si>
    <t>n6</t>
  </si>
  <si>
    <t>n7</t>
  </si>
  <si>
    <t>n8</t>
  </si>
  <si>
    <t>n9</t>
  </si>
  <si>
    <t>n10</t>
  </si>
  <si>
    <t>n11</t>
  </si>
  <si>
    <t>n12</t>
  </si>
  <si>
    <t>n13</t>
  </si>
  <si>
    <t>n14</t>
  </si>
  <si>
    <t>n15</t>
  </si>
  <si>
    <t>n16</t>
  </si>
  <si>
    <t>n17</t>
  </si>
  <si>
    <t>n18</t>
  </si>
  <si>
    <t>n19</t>
  </si>
  <si>
    <t>n20</t>
  </si>
  <si>
    <t>n21</t>
  </si>
  <si>
    <t>n22</t>
  </si>
  <si>
    <t>n23</t>
  </si>
  <si>
    <t>n24</t>
  </si>
  <si>
    <t>n25</t>
  </si>
  <si>
    <t>n26</t>
  </si>
  <si>
    <t>n27</t>
  </si>
  <si>
    <t>n28</t>
  </si>
  <si>
    <t>n29</t>
  </si>
  <si>
    <t>n30</t>
  </si>
  <si>
    <t>n31</t>
  </si>
  <si>
    <t>n32</t>
  </si>
  <si>
    <t>n33</t>
  </si>
  <si>
    <t>n34</t>
  </si>
  <si>
    <t>n35</t>
  </si>
  <si>
    <t>n36</t>
  </si>
  <si>
    <t>n37</t>
  </si>
  <si>
    <t>n38</t>
  </si>
  <si>
    <t>n39</t>
  </si>
  <si>
    <t>n40</t>
  </si>
  <si>
    <t>n41</t>
  </si>
  <si>
    <t>n42</t>
  </si>
  <si>
    <t>n43</t>
  </si>
  <si>
    <t>n44</t>
  </si>
  <si>
    <t>n45</t>
  </si>
  <si>
    <t>n46</t>
  </si>
  <si>
    <t>n47</t>
  </si>
  <si>
    <t>n48</t>
  </si>
  <si>
    <t>n49</t>
  </si>
  <si>
    <t>n50</t>
  </si>
  <si>
    <r>
      <t xml:space="preserve">YOU WILL NEED TO CALCULATE THE INFO FROM YOUR RAW DATA TO USE IN THIS SHEET </t>
    </r>
    <r>
      <rPr>
        <sz val="12"/>
        <rFont val="Calibri (Body)"/>
      </rPr>
      <t>(or use the XBAR INPUT DATA worksheet)</t>
    </r>
  </si>
  <si>
    <t>ST DEV</t>
  </si>
  <si>
    <t>(</t>
  </si>
  <si>
    <t>Xbar Measure</t>
  </si>
  <si>
    <t>Nbr of items in Subgroup</t>
  </si>
  <si>
    <t>Mean Defects (Xbar)</t>
  </si>
  <si>
    <t>R bar</t>
  </si>
  <si>
    <t>Discrete data SIGMA SCORE CALCULATOR</t>
  </si>
  <si>
    <t>Characteristic Under Study:</t>
  </si>
  <si>
    <t>Invoicing</t>
  </si>
  <si>
    <t>Number of Units in study</t>
  </si>
  <si>
    <t>Opportunity For Defects / Unit</t>
  </si>
  <si>
    <t>The maximum number of defects you could get in one unit</t>
  </si>
  <si>
    <t>Total Number of Defects found in study</t>
  </si>
  <si>
    <t>DPU</t>
  </si>
  <si>
    <t>The average number of defects per unit</t>
  </si>
  <si>
    <t>DPO</t>
  </si>
  <si>
    <t>The average number of defects per opportunity</t>
  </si>
  <si>
    <t>DPMO</t>
  </si>
  <si>
    <t>Defects per million opportunities</t>
  </si>
  <si>
    <t>Sigma Shift</t>
  </si>
  <si>
    <t>The extent to which the mean can drift over time (convention)</t>
  </si>
  <si>
    <t xml:space="preserve">SIGMA </t>
  </si>
  <si>
    <t>Your SIGMA value</t>
  </si>
  <si>
    <t>Metrics</t>
  </si>
  <si>
    <t>CTQ 1</t>
  </si>
  <si>
    <t>CTQ 2</t>
  </si>
  <si>
    <t>CTQ 3</t>
  </si>
  <si>
    <t>KPI 1</t>
  </si>
  <si>
    <t>KPI 2</t>
  </si>
  <si>
    <t>KPI 3</t>
  </si>
  <si>
    <t>Metric</t>
  </si>
  <si>
    <t>Lead-Time</t>
  </si>
  <si>
    <t>CSAT</t>
  </si>
  <si>
    <t>Timeliness</t>
  </si>
  <si>
    <t>Employee engagement</t>
  </si>
  <si>
    <t>Compliance</t>
  </si>
  <si>
    <t>Priority (scale 1-10)</t>
  </si>
  <si>
    <t>Operational Definition</t>
  </si>
  <si>
    <t>Task Lead Time 
(calendar days)</t>
  </si>
  <si>
    <t>Customer satisfaction Score (scale 1-5)</t>
  </si>
  <si>
    <t>Proportion of task completed within SLA (%)</t>
  </si>
  <si>
    <t>In natural units</t>
  </si>
  <si>
    <t>Target Capability/ Performance Score</t>
  </si>
  <si>
    <t>Baseline</t>
  </si>
  <si>
    <t>Mean / Median*</t>
  </si>
  <si>
    <t>75th%ile</t>
  </si>
  <si>
    <t>n</t>
  </si>
  <si>
    <t>DPMO / PPM</t>
  </si>
  <si>
    <t>Z LSL</t>
  </si>
  <si>
    <t>Z USL</t>
  </si>
  <si>
    <t>Z score</t>
  </si>
  <si>
    <t>Cpk</t>
  </si>
  <si>
    <t>Post Implementation</t>
  </si>
  <si>
    <t>* Please specify whether using the mean or the median to avoid misunderstanding. Note that both Z and CPk expect normally / near normally distributed data to work effectively.</t>
  </si>
  <si>
    <t>Selecting the right graphs and tests</t>
  </si>
  <si>
    <t>1.  What your Y?</t>
  </si>
  <si>
    <t>X Factors</t>
  </si>
  <si>
    <t>2.  What's your X?</t>
  </si>
  <si>
    <t>Continuous</t>
  </si>
  <si>
    <t>Discrete</t>
  </si>
  <si>
    <r>
      <rPr>
        <b/>
        <sz val="12"/>
        <color theme="1"/>
        <rFont val="Calibri"/>
        <family val="2"/>
        <scheme val="minor"/>
      </rPr>
      <t>If Continuous Y and Discrete X:</t>
    </r>
    <r>
      <rPr>
        <sz val="12"/>
        <color theme="1"/>
        <rFont val="Calibri"/>
        <family val="2"/>
        <scheme val="minor"/>
      </rPr>
      <t xml:space="preserve">
1. Check the stability using the appropriate control charts
2. Check the shape (Normality tests)
3. Check the spread (F-test, etc.)
4. Check the centering (Mean, median tests)</t>
    </r>
  </si>
  <si>
    <t>Y Response</t>
  </si>
  <si>
    <r>
      <t xml:space="preserve">Histogram, Scatter Plot
</t>
    </r>
    <r>
      <rPr>
        <sz val="11"/>
        <color rgb="FF00B0F0"/>
        <rFont val="Calibri"/>
        <family val="2"/>
        <scheme val="minor"/>
      </rPr>
      <t xml:space="preserve">Correlation, Regression, </t>
    </r>
    <r>
      <rPr>
        <sz val="11"/>
        <color theme="0" tint="-0.499984740745262"/>
        <rFont val="Calibri"/>
        <family val="2"/>
        <scheme val="minor"/>
      </rPr>
      <t>DOE</t>
    </r>
  </si>
  <si>
    <r>
      <t>Histogram, box plot,</t>
    </r>
    <r>
      <rPr>
        <sz val="11"/>
        <color theme="0" tint="-0.499984740745262"/>
        <rFont val="Calibri"/>
        <family val="2"/>
        <scheme val="minor"/>
      </rPr>
      <t xml:space="preserve"> dot plot, main effect plot, interaction plot</t>
    </r>
    <r>
      <rPr>
        <sz val="11"/>
        <color theme="1"/>
        <rFont val="Calibri"/>
        <family val="2"/>
        <scheme val="minor"/>
      </rPr>
      <t xml:space="preserve">
</t>
    </r>
    <r>
      <rPr>
        <sz val="11"/>
        <color rgb="FF00B0F0"/>
        <rFont val="Calibri"/>
        <family val="2"/>
        <scheme val="minor"/>
      </rPr>
      <t>F-test, Anova, Mean &amp; median tests,</t>
    </r>
    <r>
      <rPr>
        <sz val="11"/>
        <color theme="1"/>
        <rFont val="Calibri"/>
        <family val="2"/>
        <scheme val="minor"/>
      </rPr>
      <t xml:space="preserve"> </t>
    </r>
    <r>
      <rPr>
        <sz val="11"/>
        <color theme="0" tint="-0.499984740745262"/>
        <rFont val="Calibri"/>
        <family val="2"/>
        <scheme val="minor"/>
      </rPr>
      <t>DOE</t>
    </r>
  </si>
  <si>
    <t>Logistic regression, DOE</t>
  </si>
  <si>
    <r>
      <t>Pareto chart,</t>
    </r>
    <r>
      <rPr>
        <sz val="11"/>
        <color theme="0" tint="-0.499984740745262"/>
        <rFont val="Calibri"/>
        <family val="2"/>
        <scheme val="minor"/>
      </rPr>
      <t xml:space="preserve"> pie chart, bar chart</t>
    </r>
    <r>
      <rPr>
        <sz val="11"/>
        <color theme="1"/>
        <rFont val="Calibri"/>
        <family val="2"/>
        <scheme val="minor"/>
      </rPr>
      <t xml:space="preserve">
</t>
    </r>
    <r>
      <rPr>
        <sz val="11"/>
        <color rgb="FF00B0F0"/>
        <rFont val="Calibri"/>
        <family val="2"/>
        <scheme val="minor"/>
      </rPr>
      <t>Chi-sq. test,</t>
    </r>
    <r>
      <rPr>
        <sz val="11"/>
        <color theme="1"/>
        <rFont val="Calibri"/>
        <family val="2"/>
        <scheme val="minor"/>
      </rPr>
      <t xml:space="preserve"> </t>
    </r>
    <r>
      <rPr>
        <sz val="11"/>
        <color theme="0" tint="-0.499984740745262"/>
        <rFont val="Calibri"/>
        <family val="2"/>
        <scheme val="minor"/>
      </rPr>
      <t>proportion test</t>
    </r>
  </si>
  <si>
    <t>Note: Tool in grey are listed for guidance and not include in this workbook (many can be done in Excel via Insert &gt; Graphs)</t>
  </si>
  <si>
    <t>You have 2 discrete factors / response</t>
  </si>
  <si>
    <t>You want to test if there is a relationship between the 1 or more the levels of your 2 factors</t>
  </si>
  <si>
    <t>Use Chi Square test - Goodness of fit</t>
  </si>
  <si>
    <t>You have a Continuous Y</t>
  </si>
  <si>
    <r>
      <t xml:space="preserve">You want to compare </t>
    </r>
    <r>
      <rPr>
        <b/>
        <sz val="12"/>
        <color theme="1"/>
        <rFont val="Calibri"/>
        <family val="2"/>
        <scheme val="minor"/>
      </rPr>
      <t>the variance</t>
    </r>
    <r>
      <rPr>
        <sz val="12"/>
        <color theme="1"/>
        <rFont val="Calibri"/>
        <family val="2"/>
        <scheme val="minor"/>
      </rPr>
      <t xml:space="preserve"> of 2 samples of data to decide if they are </t>
    </r>
    <r>
      <rPr>
        <b/>
        <sz val="12"/>
        <color theme="1"/>
        <rFont val="Calibri"/>
        <family val="2"/>
        <scheme val="minor"/>
      </rPr>
      <t>statistically</t>
    </r>
    <r>
      <rPr>
        <sz val="12"/>
        <color theme="1"/>
        <rFont val="Calibri"/>
        <family val="2"/>
        <scheme val="minor"/>
      </rPr>
      <t xml:space="preserve"> different</t>
    </r>
  </si>
  <si>
    <t>Use the F test</t>
  </si>
  <si>
    <r>
      <t xml:space="preserve">You want to compare </t>
    </r>
    <r>
      <rPr>
        <b/>
        <sz val="12"/>
        <color theme="1"/>
        <rFont val="Calibri"/>
        <family val="2"/>
        <scheme val="minor"/>
      </rPr>
      <t xml:space="preserve">the averages / medians </t>
    </r>
    <r>
      <rPr>
        <sz val="12"/>
        <color theme="1"/>
        <rFont val="Calibri"/>
        <family val="2"/>
        <scheme val="minor"/>
      </rPr>
      <t xml:space="preserve">of samples of data to decide if they are </t>
    </r>
    <r>
      <rPr>
        <b/>
        <sz val="12"/>
        <color theme="1"/>
        <rFont val="Calibri"/>
        <family val="2"/>
        <scheme val="minor"/>
      </rPr>
      <t>statistically</t>
    </r>
    <r>
      <rPr>
        <sz val="12"/>
        <color theme="1"/>
        <rFont val="Calibri"/>
        <family val="2"/>
        <scheme val="minor"/>
      </rPr>
      <t xml:space="preserve"> different</t>
    </r>
  </si>
  <si>
    <t>Are samples normally distributed?</t>
  </si>
  <si>
    <t>Are there any outliers?</t>
  </si>
  <si>
    <t>How many samples do you want to compare?</t>
  </si>
  <si>
    <t>Pearson Chi-Square Test: Discrete Y, Discrete X</t>
  </si>
  <si>
    <t>Output categories</t>
  </si>
  <si>
    <t>Inputs Categories</t>
  </si>
  <si>
    <t>Untimely</t>
  </si>
  <si>
    <t>Timely</t>
  </si>
  <si>
    <r>
      <t xml:space="preserve">Total </t>
    </r>
    <r>
      <rPr>
        <sz val="12"/>
        <color theme="1"/>
        <rFont val="Calibri"/>
        <family val="2"/>
        <scheme val="minor"/>
      </rPr>
      <t>(Actual Count)</t>
    </r>
  </si>
  <si>
    <t>London</t>
  </si>
  <si>
    <t>Actual Count</t>
  </si>
  <si>
    <t>Expected Count</t>
  </si>
  <si>
    <t>Cont Chi-sq.</t>
  </si>
  <si>
    <t>Manchester</t>
  </si>
  <si>
    <t>Newcastle</t>
  </si>
  <si>
    <r>
      <t xml:space="preserve">TOTAL </t>
    </r>
    <r>
      <rPr>
        <sz val="12"/>
        <color theme="1"/>
        <rFont val="Calibri"/>
        <family val="2"/>
        <scheme val="minor"/>
      </rPr>
      <t>(Actual Count)</t>
    </r>
  </si>
  <si>
    <t>Ho:</t>
  </si>
  <si>
    <t>There is no relation between the two variables (there no statistical significant difference between the observed and expected values)</t>
  </si>
  <si>
    <t>Ha:</t>
  </si>
  <si>
    <t>There is a relationship between the two variables (there is a statistically significant difference between the observed and expected values)</t>
  </si>
  <si>
    <t>If p &lt; α = 0.05, reject Ho</t>
  </si>
  <si>
    <t>Alpha α</t>
  </si>
  <si>
    <t>Pearson Chi-Square value</t>
  </si>
  <si>
    <t>DF</t>
  </si>
  <si>
    <t>F test (test of variance): Continuous Y, Discrete X with 2 levels</t>
  </si>
  <si>
    <t>Obs. ID</t>
  </si>
  <si>
    <t>CallType A</t>
  </si>
  <si>
    <t>Call Type B</t>
  </si>
  <si>
    <t>Test</t>
  </si>
  <si>
    <t>Variance</t>
  </si>
  <si>
    <t>variance are equal</t>
  </si>
  <si>
    <t>There is no statistical diference in the variance of the CTQ (Y) between the level of the Factor (X)</t>
  </si>
  <si>
    <t>records</t>
  </si>
  <si>
    <t>variance are unequal</t>
  </si>
  <si>
    <t>There is a statistical diference in the variance of the CTQ (Y) between the level of the Factor (X)</t>
  </si>
  <si>
    <t>degrees of freedom</t>
  </si>
  <si>
    <t>if p &lt; α, then reject Ho</t>
  </si>
  <si>
    <t>alpha α</t>
  </si>
  <si>
    <t>p-value</t>
  </si>
  <si>
    <t>Significant?</t>
  </si>
  <si>
    <t>Graph Title</t>
  </si>
  <si>
    <t>Mood's median test: Continuous Y, Discrete X with 2 or more levels</t>
  </si>
  <si>
    <t>Observations ID</t>
  </si>
  <si>
    <t>Group 5</t>
  </si>
  <si>
    <t>Group 6</t>
  </si>
  <si>
    <t>Group 7</t>
  </si>
  <si>
    <t>Group 8</t>
  </si>
  <si>
    <t>Group 9</t>
  </si>
  <si>
    <t>Group 10</t>
  </si>
  <si>
    <t>Group 11</t>
  </si>
  <si>
    <t>Group 12</t>
  </si>
  <si>
    <t>Factor</t>
  </si>
  <si>
    <t>N</t>
  </si>
  <si>
    <t>&lt;= Overall Median</t>
  </si>
  <si>
    <t>&gt; Overall Median</t>
  </si>
  <si>
    <t>Q3-Q1</t>
  </si>
  <si>
    <t>95% CI on Median</t>
  </si>
  <si>
    <t>OBSERVED</t>
  </si>
  <si>
    <t>&lt;= Median</t>
  </si>
  <si>
    <t>&gt; Median</t>
  </si>
  <si>
    <t>N data points</t>
  </si>
  <si>
    <t>EXPECTED</t>
  </si>
  <si>
    <t>Contribution to Chi-Sq.</t>
  </si>
  <si>
    <t>The medians are equal</t>
  </si>
  <si>
    <t>The medians are not equal</t>
  </si>
  <si>
    <t xml:space="preserve"> Chi-Sq.</t>
  </si>
  <si>
    <t>Two Sample t-test: Continuous Y, Discrete X with 2 levels</t>
  </si>
  <si>
    <t>Call Type A</t>
  </si>
  <si>
    <t>Call type B</t>
  </si>
  <si>
    <t>t test</t>
  </si>
  <si>
    <t>Box Plot title</t>
  </si>
  <si>
    <t>count</t>
  </si>
  <si>
    <t>mean</t>
  </si>
  <si>
    <t>std dev</t>
  </si>
  <si>
    <t>std err</t>
  </si>
  <si>
    <t>a</t>
  </si>
  <si>
    <t>tails</t>
  </si>
  <si>
    <r>
      <t>s</t>
    </r>
    <r>
      <rPr>
        <vertAlign val="superscript"/>
        <sz val="12"/>
        <color theme="1"/>
        <rFont val="Calibri"/>
        <family val="2"/>
      </rPr>
      <t>2</t>
    </r>
  </si>
  <si>
    <t>s</t>
  </si>
  <si>
    <t>t</t>
  </si>
  <si>
    <t>p value</t>
  </si>
  <si>
    <t>Ho: Null hypothesis</t>
  </si>
  <si>
    <t>Ha: Alternative hypothesis</t>
  </si>
  <si>
    <t>The means of the samples are statistically different</t>
  </si>
  <si>
    <t>If p &lt; 0.05, then reject Ho</t>
  </si>
  <si>
    <t>Significant difference?</t>
  </si>
  <si>
    <t>Pearson Correlation test: Continuous Y, Continuous X</t>
  </si>
  <si>
    <t>X3 Amount (£k)</t>
  </si>
  <si>
    <t>Y2 Lead Time (days)</t>
  </si>
  <si>
    <t>There is no relationship between the 2 variables</t>
  </si>
  <si>
    <t xml:space="preserve">Correlation coefficient </t>
  </si>
  <si>
    <t>There is a relationship between the 2 variables</t>
  </si>
  <si>
    <t>α alpha</t>
  </si>
  <si>
    <t>General linear regression: Continuous Y, Continuous Xs</t>
  </si>
  <si>
    <t>Y Lead Time (days)</t>
  </si>
  <si>
    <t>X9 Amount (£k)</t>
  </si>
  <si>
    <t>X10 Approval Time (days)</t>
  </si>
  <si>
    <t>X11 Wait for Info (days)</t>
  </si>
  <si>
    <t>SUMMARY OUTPUT</t>
  </si>
  <si>
    <t>Regression Statistics</t>
  </si>
  <si>
    <t>Multiple R</t>
  </si>
  <si>
    <t>R Square</t>
  </si>
  <si>
    <t>Adjusted R Square</t>
  </si>
  <si>
    <t>Standard Error</t>
  </si>
  <si>
    <t>Observations</t>
  </si>
  <si>
    <t>ANOVA</t>
  </si>
  <si>
    <t>df</t>
  </si>
  <si>
    <t>SS</t>
  </si>
  <si>
    <t>MS</t>
  </si>
  <si>
    <t>Significance F</t>
  </si>
  <si>
    <t>Regression</t>
  </si>
  <si>
    <t>Residual</t>
  </si>
  <si>
    <t>Coefficients</t>
  </si>
  <si>
    <t>t Stat</t>
  </si>
  <si>
    <t>Lower 95%</t>
  </si>
  <si>
    <t>Upper 95%</t>
  </si>
  <si>
    <t>Intercept</t>
  </si>
  <si>
    <t>RESIDUAL OUTPUT</t>
  </si>
  <si>
    <t>PROBABILITY OUTPUT</t>
  </si>
  <si>
    <t>Observation</t>
  </si>
  <si>
    <t>Predicted Y Lead Time (days)</t>
  </si>
  <si>
    <t>Residuals</t>
  </si>
  <si>
    <t>Standard Residuals</t>
  </si>
  <si>
    <t>Percentile</t>
  </si>
  <si>
    <t>Confidence Intervals calculations</t>
  </si>
  <si>
    <t>Sample size</t>
  </si>
  <si>
    <t>Proportion with Result</t>
  </si>
  <si>
    <t>% with result</t>
  </si>
  <si>
    <t xml:space="preserve">Confidence </t>
  </si>
  <si>
    <t>Confidence interval</t>
  </si>
  <si>
    <t>confidence level</t>
  </si>
  <si>
    <t>z value to use</t>
  </si>
  <si>
    <t>Population Mean</t>
  </si>
  <si>
    <t>If your measure is an 'average' (mean) then use this calculator to work out the confidence interval for the mean</t>
  </si>
  <si>
    <r>
      <t>If you want to know the confidence interval for the average value in a sample of</t>
    </r>
    <r>
      <rPr>
        <sz val="10"/>
        <color rgb="FFFF0000"/>
        <rFont val="Calibri (Body)"/>
      </rPr>
      <t xml:space="preserve"> 30 or more</t>
    </r>
  </si>
  <si>
    <t>Xbar =</t>
  </si>
  <si>
    <t>mean value</t>
  </si>
  <si>
    <t>s =</t>
  </si>
  <si>
    <t>Standard deviation of the sample</t>
  </si>
  <si>
    <t>n =</t>
  </si>
  <si>
    <t>z =</t>
  </si>
  <si>
    <t>See orange table</t>
  </si>
  <si>
    <t>CI =</t>
  </si>
  <si>
    <t>Confidence Interval (1-side)</t>
  </si>
  <si>
    <t>±</t>
  </si>
  <si>
    <r>
      <rPr>
        <b/>
        <sz val="10"/>
        <rFont val="Calibri (Body)"/>
      </rPr>
      <t xml:space="preserve">Ideally get a larger sample. </t>
    </r>
    <r>
      <rPr>
        <sz val="10"/>
        <rFont val="Calibri (Body)"/>
      </rPr>
      <t>Then use the formula above instead
If your measure is an 'average' (mean) then use this calculator to work out the confidence interval for the mean</t>
    </r>
  </si>
  <si>
    <r>
      <t xml:space="preserve">If you want to know the confidence interval for the average value in a sample of </t>
    </r>
    <r>
      <rPr>
        <sz val="10"/>
        <color rgb="FFFF0000"/>
        <rFont val="Calibri (Body)"/>
      </rPr>
      <t>less than 30</t>
    </r>
  </si>
  <si>
    <t>a sample standard deviation estimate</t>
  </si>
  <si>
    <t>t =</t>
  </si>
  <si>
    <t>this is the t statistic</t>
  </si>
  <si>
    <t>Difference in Proportions</t>
  </si>
  <si>
    <t>Use this if you are subtracting one proportion from another, the proportions can be from the same sample or different samples.</t>
  </si>
  <si>
    <t>Calculating the confidence interval for the difference between two proportions</t>
  </si>
  <si>
    <t>i.e. calculate the 95% CI for p1-p2 in a sample of 200 people</t>
  </si>
  <si>
    <t>result1</t>
  </si>
  <si>
    <t>the number in the sample with a specific result</t>
  </si>
  <si>
    <r>
      <t>result2</t>
    </r>
    <r>
      <rPr>
        <sz val="11"/>
        <color theme="1"/>
        <rFont val="Calibri"/>
        <family val="2"/>
        <scheme val="minor"/>
      </rPr>
      <t/>
    </r>
  </si>
  <si>
    <t>the size of the sample that produced result1</t>
  </si>
  <si>
    <r>
      <t>n2</t>
    </r>
    <r>
      <rPr>
        <sz val="11"/>
        <color theme="1"/>
        <rFont val="Calibri"/>
        <family val="2"/>
        <scheme val="minor"/>
      </rPr>
      <t/>
    </r>
  </si>
  <si>
    <r>
      <t>the size of the sample that produced result2</t>
    </r>
    <r>
      <rPr>
        <sz val="11"/>
        <color theme="1"/>
        <rFont val="Calibri"/>
        <family val="2"/>
        <scheme val="minor"/>
      </rPr>
      <t/>
    </r>
  </si>
  <si>
    <t xml:space="preserve">CI = </t>
  </si>
  <si>
    <t>Confidence</t>
  </si>
  <si>
    <t>Population proportion</t>
  </si>
  <si>
    <t>Use this if you have a result that is a proportion, i.e. 85 out of 179 surveyed said 'yes' to calculate the confidence you have in this figure</t>
  </si>
  <si>
    <t>Calculating the confidence interval for a sample of a population where a proportion answer in a specific way</t>
  </si>
  <si>
    <t>Problem</t>
  </si>
  <si>
    <t>[Quantified Problem]</t>
  </si>
  <si>
    <t>Participants: [Full names]</t>
  </si>
  <si>
    <t>Theme #1</t>
  </si>
  <si>
    <t>Theme #2</t>
  </si>
  <si>
    <t>Theme #3</t>
  </si>
  <si>
    <t>Theme #4</t>
  </si>
  <si>
    <t>Theme #5</t>
  </si>
  <si>
    <t>Theme #6</t>
  </si>
  <si>
    <t>Theme #7</t>
  </si>
  <si>
    <t>Theme #8</t>
  </si>
  <si>
    <t>Theme #9</t>
  </si>
  <si>
    <t>Idea xyz</t>
  </si>
  <si>
    <t>Positive</t>
  </si>
  <si>
    <t>Negative</t>
  </si>
  <si>
    <t>Impact of Change (1 weak - 5 strong)</t>
  </si>
  <si>
    <t>Change</t>
  </si>
  <si>
    <t>Useful questions to ask when filling this in</t>
  </si>
  <si>
    <t>Enter the description of your change here</t>
  </si>
  <si>
    <t>What is the business benefit?</t>
  </si>
  <si>
    <t>How much does the change cost?</t>
  </si>
  <si>
    <t>Who supports the change? Who is against it? Why?</t>
  </si>
  <si>
    <t>How easy is the change? Do you have the bandwidth or resources available to deliver it?</t>
  </si>
  <si>
    <t>What other processes are impacted?</t>
  </si>
  <si>
    <t>What are the risks associated with either delivering the change or the new process being delivered?</t>
  </si>
  <si>
    <t>Effort</t>
  </si>
  <si>
    <t xml:space="preserve">Project ABC </t>
  </si>
  <si>
    <t>Project DEF</t>
  </si>
  <si>
    <t>Project GHI</t>
  </si>
  <si>
    <t>Project XYZ</t>
  </si>
  <si>
    <t>Prioritisation / Solution selection matrix</t>
  </si>
  <si>
    <t xml:space="preserve">Author: </t>
  </si>
  <si>
    <t>Date started: dd/mm/yy</t>
  </si>
  <si>
    <t>Improve order entry accuracy</t>
  </si>
  <si>
    <t>Version: Draft v1</t>
  </si>
  <si>
    <t>Date completed: dd/mm/yy</t>
  </si>
  <si>
    <t>CTQ &amp; importance</t>
  </si>
  <si>
    <t>Solution Options</t>
  </si>
  <si>
    <t>Lead Time</t>
  </si>
  <si>
    <t>Customer Satisfaction</t>
  </si>
  <si>
    <t>Ease of Implementation</t>
  </si>
  <si>
    <t>Time to implement</t>
  </si>
  <si>
    <t>Cost</t>
  </si>
  <si>
    <t>Define and limit the possible value in compulsory fields</t>
  </si>
  <si>
    <t>Define and limit the format options for the compulsory fields</t>
  </si>
  <si>
    <t>Update order entry instructions to cover all systems and products</t>
  </si>
  <si>
    <t>Create report on order entry accuracy for performance management</t>
  </si>
  <si>
    <t>Train, communicate and monitor current order entry instructions</t>
  </si>
  <si>
    <r>
      <t>Pugh Matrix -</t>
    </r>
    <r>
      <rPr>
        <sz val="16"/>
        <rFont val="Calibri"/>
        <family val="2"/>
        <scheme val="minor"/>
      </rPr>
      <t xml:space="preserve"> Decision Matrix</t>
    </r>
  </si>
  <si>
    <t>Problem/Situation:</t>
  </si>
  <si>
    <t>As of: dd/mm/yyyy</t>
  </si>
  <si>
    <t>Alternatives</t>
  </si>
  <si>
    <t>Criteria</t>
  </si>
  <si>
    <t>Concept 1</t>
  </si>
  <si>
    <t>Concept 2</t>
  </si>
  <si>
    <t>Concept 3</t>
  </si>
  <si>
    <t>Totals</t>
  </si>
  <si>
    <t>Rank</t>
  </si>
  <si>
    <t>Safe</t>
  </si>
  <si>
    <t>−</t>
  </si>
  <si>
    <t>+</t>
  </si>
  <si>
    <t>Better than baseline</t>
  </si>
  <si>
    <t>Durable</t>
  </si>
  <si>
    <t>About the same</t>
  </si>
  <si>
    <t>Weight</t>
  </si>
  <si>
    <t>Worse than baseline</t>
  </si>
  <si>
    <t>Easy to assemble</t>
  </si>
  <si>
    <t>Symbols</t>
  </si>
  <si>
    <t>Relationship</t>
  </si>
  <si>
    <t>Reliable</t>
  </si>
  <si>
    <t>Guide:</t>
  </si>
  <si>
    <t>1. Before you start, collect the two sets of data.</t>
  </si>
  <si>
    <t>2. Insert the criteria on the left hand column.</t>
  </si>
  <si>
    <t>3. Insert the alternatives on the top row.</t>
  </si>
  <si>
    <t>4. Work through the matrix and indicate how the criteria will affect the various alternative being considered.</t>
  </si>
  <si>
    <t xml:space="preserve">Totals </t>
  </si>
  <si>
    <t>5. Review the completed matrix to make the best decision for your situation.</t>
  </si>
  <si>
    <t xml:space="preserve">Rank </t>
  </si>
  <si>
    <t>Note: You need only to fill the white, blue and yellow cells.</t>
  </si>
  <si>
    <t>Comments/Conclusion:</t>
  </si>
  <si>
    <t>[Process name] FMEA</t>
  </si>
  <si>
    <t>Author: [name]</t>
  </si>
  <si>
    <t>Date started: [dd/mm/yy]</t>
  </si>
  <si>
    <t>Version: ##</t>
  </si>
  <si>
    <t>Date completed:  [dd/mm/yy]</t>
  </si>
  <si>
    <t>Process Step/Input</t>
  </si>
  <si>
    <t>Potential Failure Mode</t>
  </si>
  <si>
    <t>Potential Failure Effects</t>
  </si>
  <si>
    <t>SEV</t>
  </si>
  <si>
    <t>Potential Causes</t>
  </si>
  <si>
    <t>OCC</t>
  </si>
  <si>
    <t>Current Controls</t>
  </si>
  <si>
    <t>DET</t>
  </si>
  <si>
    <t>Current RPN</t>
  </si>
  <si>
    <t>Actions Recommended</t>
  </si>
  <si>
    <t>Actions results</t>
  </si>
  <si>
    <t>What is the process step/ input under investigation?</t>
  </si>
  <si>
    <t>In what ways does the key input go wrong?</t>
  </si>
  <si>
    <t>What is the impact on the key output variables (customer requirements) or internal requirements?</t>
  </si>
  <si>
    <t>How severe is the effect to the customer?
(1-10)</t>
  </si>
  <si>
    <t>What causes the key input to go wrong?</t>
  </si>
  <si>
    <t>How often does cause or FM occur?
(1-10)</t>
  </si>
  <si>
    <t>What are the existing controls that prevent or detect either the cause or the failure mode?</t>
  </si>
  <si>
    <t>How well can you detect cause or FM?
(1-10)</t>
  </si>
  <si>
    <t>= SEV*OCC*DET</t>
  </si>
  <si>
    <t>For high RPN: What are the actions to reduce occurrance of the cause, or improve detection?</t>
  </si>
  <si>
    <t>Responsibility (who)</t>
  </si>
  <si>
    <t>Target Date (when)</t>
  </si>
  <si>
    <t>Action taken (what &amp; how)</t>
  </si>
  <si>
    <t>New RPN</t>
  </si>
  <si>
    <t>Capture customer issue</t>
  </si>
  <si>
    <t>Customer poorly describe their problem</t>
  </si>
  <si>
    <t>Poorly select job-type and priority</t>
  </si>
  <si>
    <t>Poorly set questions</t>
  </si>
  <si>
    <t>feedback from fields</t>
  </si>
  <si>
    <t>Did not identify this is a private issue</t>
  </si>
  <si>
    <t>Bad demand to Fields Ops</t>
  </si>
  <si>
    <t>Did not use script</t>
  </si>
  <si>
    <t>Manual random audit</t>
  </si>
  <si>
    <t>Asset location data is missing</t>
  </si>
  <si>
    <t>New asset, data not yet uploaded</t>
  </si>
  <si>
    <t>Asset location data is inaccurate</t>
  </si>
  <si>
    <t>Exsiting assest, data out of date</t>
  </si>
  <si>
    <t>Script  is out of date</t>
  </si>
  <si>
    <t>Punctual feedback &amp; update</t>
  </si>
  <si>
    <t>Write case notes</t>
  </si>
  <si>
    <t>poorly written notes as seen by fields op</t>
  </si>
  <si>
    <t>#2</t>
  </si>
  <si>
    <t>#3</t>
  </si>
  <si>
    <t>#4</t>
  </si>
  <si>
    <t>x</t>
  </si>
  <si>
    <t>#5</t>
  </si>
  <si>
    <t>#6</t>
  </si>
  <si>
    <t>#7</t>
  </si>
  <si>
    <t>#8</t>
  </si>
  <si>
    <t>#9</t>
  </si>
  <si>
    <t>#10</t>
  </si>
  <si>
    <t>Control plan for loan application process</t>
  </si>
  <si>
    <t>Customer:</t>
  </si>
  <si>
    <t>All UK</t>
  </si>
  <si>
    <t>CTQs</t>
  </si>
  <si>
    <t>Loan Application decision Lead Time in calendar days</t>
  </si>
  <si>
    <t>Capturing Data</t>
  </si>
  <si>
    <t>Checking</t>
  </si>
  <si>
    <t>Step</t>
  </si>
  <si>
    <t>Process specifications</t>
  </si>
  <si>
    <t>Capability / date</t>
  </si>
  <si>
    <t>Measurement techniques</t>
  </si>
  <si>
    <t>MSA Results / date</t>
  </si>
  <si>
    <t>Sample frequency</t>
  </si>
  <si>
    <t>Control method</t>
  </si>
  <si>
    <t>Responsible person</t>
  </si>
  <si>
    <t>Reaction plan</t>
  </si>
  <si>
    <t>Provide decision to customer</t>
  </si>
  <si>
    <t>Y1 Lead time</t>
  </si>
  <si>
    <t>USL 8 days</t>
  </si>
  <si>
    <t>Z = 1.5 / 01/04/2013</t>
  </si>
  <si>
    <t>Visual read in loan form</t>
  </si>
  <si>
    <t>GR&amp;R: 20% 01/04/2013</t>
  </si>
  <si>
    <t>Every loan</t>
  </si>
  <si>
    <t>Daily</t>
  </si>
  <si>
    <t>Xbar-S chart</t>
  </si>
  <si>
    <t>John</t>
  </si>
  <si>
    <t>Contact Sales Mgr</t>
  </si>
  <si>
    <t>Assessing application</t>
  </si>
  <si>
    <t>X2 Computer uptime</t>
  </si>
  <si>
    <t>LSL = 100%</t>
  </si>
  <si>
    <t>Z  = 3.0 / 01/01/2013</t>
  </si>
  <si>
    <t>Daily computer print out</t>
  </si>
  <si>
    <t xml:space="preserve">100% agreement 01/04/2013
</t>
  </si>
  <si>
    <t>OS daily uptime</t>
  </si>
  <si>
    <t>Once a day</t>
  </si>
  <si>
    <t>I-mr chart</t>
  </si>
  <si>
    <t>Elizabeth</t>
  </si>
  <si>
    <t>Contact IT Mgr</t>
  </si>
  <si>
    <t>Processing application</t>
  </si>
  <si>
    <t>X2 Operator Training</t>
  </si>
  <si>
    <t>Completion of course 101 for all operators</t>
  </si>
  <si>
    <t>All operators completed</t>
  </si>
  <si>
    <t>HR employee file</t>
  </si>
  <si>
    <t>All involved operator</t>
  </si>
  <si>
    <t>quarterly</t>
  </si>
  <si>
    <t>employee file inspection</t>
  </si>
  <si>
    <t>Mary</t>
  </si>
  <si>
    <t>Contact HR Mgr</t>
  </si>
  <si>
    <t>Revision ID</t>
  </si>
  <si>
    <t>Revision Description</t>
  </si>
  <si>
    <t>Author</t>
  </si>
  <si>
    <t>Approver</t>
  </si>
  <si>
    <t>Initial plan</t>
  </si>
  <si>
    <t>Anonymous</t>
  </si>
  <si>
    <t>Anonymous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</si>
</sst>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64" formatCode="_-* #,##0.00_-;\-* #,##0.00_-;_-* &quot;-&quot;??_-;_-@_-"/>
    <numFmt numFmtId="165" formatCode="0.0"/>
    <numFmt numFmtId="166" formatCode="0.000"/>
    <numFmt numFmtId="167" formatCode="0.0%"/>
    <numFmt numFmtId="168" formatCode="_-* #,##0_-;\-* #,##0_-;_-* &quot;-&quot;??_-;_-@_-"/>
    <numFmt numFmtId="169" formatCode="_-* #,##0.0000_-;\-* #,##0.0000_-;_-* &quot;-&quot;??_-;_-@_-"/>
    <numFmt numFmtId="170" formatCode="0.00000"/>
    <numFmt numFmtId="171" formatCode="0.0000"/>
    <numFmt numFmtId="172" formatCode="dd/mm"/>
    <numFmt numFmtId="173" formatCode="#,##0.000"/>
    <numFmt numFmtId="174" formatCode="0.000000"/>
    <numFmt numFmtId="175" formatCode="_-* #,##0.000_-;\-* #,##0.000_-;_-* &quot;-&quot;??_-;_-@_-"/>
    <numFmt numFmtId="176" formatCode="#,##0.00000000000000000"/>
  </numFmts>
  <fonts count="155">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1"/>
      <color theme="1"/>
      <name val="Franklin Gothic Book"/>
      <family val="2"/>
    </font>
    <font>
      <sz val="11"/>
      <color theme="1"/>
      <name val="Calibri"/>
      <family val="2"/>
      <scheme val="minor"/>
    </font>
    <font>
      <sz val="11"/>
      <color rgb="FFFF0000"/>
      <name val="Calibri"/>
      <family val="2"/>
      <scheme val="minor"/>
    </font>
    <font>
      <b/>
      <sz val="11"/>
      <color theme="1"/>
      <name val="Calibri"/>
      <family val="2"/>
      <scheme val="minor"/>
    </font>
    <font>
      <i/>
      <sz val="11"/>
      <color theme="1"/>
      <name val="Calibri"/>
      <family val="2"/>
      <scheme val="minor"/>
    </font>
    <font>
      <sz val="9"/>
      <color indexed="81"/>
      <name val="Tahoma"/>
      <family val="2"/>
    </font>
    <font>
      <b/>
      <sz val="9"/>
      <color indexed="81"/>
      <name val="Tahoma"/>
      <family val="2"/>
    </font>
    <font>
      <sz val="10"/>
      <name val="Arial"/>
      <family val="2"/>
    </font>
    <font>
      <b/>
      <sz val="11"/>
      <color rgb="FFFF0000"/>
      <name val="Calibri"/>
      <family val="2"/>
      <scheme val="minor"/>
    </font>
    <font>
      <sz val="11"/>
      <name val="Calibri"/>
      <family val="2"/>
      <scheme val="minor"/>
    </font>
    <font>
      <b/>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color indexed="8"/>
      <name val="Arial"/>
      <family val="2"/>
    </font>
    <font>
      <sz val="10"/>
      <color theme="1"/>
      <name val="Century Schoolbook"/>
      <family val="2"/>
    </font>
    <font>
      <b/>
      <sz val="11"/>
      <name val="Calibri"/>
      <family val="2"/>
      <scheme val="minor"/>
    </font>
    <font>
      <u/>
      <sz val="10"/>
      <color indexed="12"/>
      <name val="Arial"/>
      <family val="2"/>
    </font>
    <font>
      <sz val="8"/>
      <name val="Calibri"/>
      <family val="2"/>
      <scheme val="minor"/>
    </font>
    <font>
      <u/>
      <sz val="11"/>
      <color theme="10"/>
      <name val="Calibri"/>
      <family val="2"/>
      <scheme val="minor"/>
    </font>
    <font>
      <sz val="10"/>
      <name val="Geneva"/>
      <family val="2"/>
    </font>
    <font>
      <i/>
      <sz val="11"/>
      <color rgb="FF3F3F76"/>
      <name val="Calibri"/>
      <family val="2"/>
      <scheme val="minor"/>
    </font>
    <font>
      <sz val="11"/>
      <color theme="1"/>
      <name val="Calibri"/>
      <family val="2"/>
    </font>
    <font>
      <b/>
      <sz val="11"/>
      <color rgb="FFFA7D00"/>
      <name val="Franklin Gothic Book"/>
      <family val="2"/>
    </font>
    <font>
      <b/>
      <sz val="11"/>
      <color rgb="FF3F3F76"/>
      <name val="Calibri"/>
      <family val="2"/>
      <scheme val="minor"/>
    </font>
    <font>
      <b/>
      <sz val="10"/>
      <color theme="1"/>
      <name val="Calibri"/>
      <family val="2"/>
    </font>
    <font>
      <sz val="10"/>
      <color theme="1"/>
      <name val="Calibri"/>
      <family val="2"/>
    </font>
    <font>
      <b/>
      <sz val="12"/>
      <color theme="0"/>
      <name val="Calibri"/>
      <family val="2"/>
      <scheme val="minor"/>
    </font>
    <font>
      <i/>
      <sz val="12"/>
      <color theme="1"/>
      <name val="Calibri"/>
      <family val="2"/>
      <scheme val="minor"/>
    </font>
    <font>
      <b/>
      <sz val="12"/>
      <color theme="1"/>
      <name val="Calibri"/>
      <family val="2"/>
      <scheme val="minor"/>
    </font>
    <font>
      <sz val="12"/>
      <color rgb="FF3F3F76"/>
      <name val="Calibri"/>
      <family val="2"/>
      <scheme val="minor"/>
    </font>
    <font>
      <b/>
      <sz val="12"/>
      <color rgb="FFFA7D00"/>
      <name val="Calibri"/>
      <family val="2"/>
      <scheme val="minor"/>
    </font>
    <font>
      <sz val="12"/>
      <color theme="0"/>
      <name val="Calibri"/>
      <family val="2"/>
      <scheme val="minor"/>
    </font>
    <font>
      <sz val="12"/>
      <name val="Calibri"/>
      <family val="2"/>
      <scheme val="minor"/>
    </font>
    <font>
      <b/>
      <sz val="12"/>
      <name val="Calibri"/>
      <family val="2"/>
      <scheme val="minor"/>
    </font>
    <font>
      <sz val="12"/>
      <color rgb="FF002060"/>
      <name val="Calibri"/>
      <family val="2"/>
      <scheme val="minor"/>
    </font>
    <font>
      <sz val="12"/>
      <color rgb="FFFF0000"/>
      <name val="Calibri"/>
      <family val="2"/>
      <scheme val="minor"/>
    </font>
    <font>
      <sz val="11"/>
      <color rgb="FF3F3F76"/>
      <name val="Calibri"/>
      <family val="2"/>
    </font>
    <font>
      <b/>
      <sz val="11"/>
      <color rgb="FFFA7D00"/>
      <name val="Calibri"/>
      <family val="2"/>
    </font>
    <font>
      <b/>
      <sz val="10"/>
      <name val="Calibri"/>
      <family val="2"/>
    </font>
    <font>
      <sz val="12"/>
      <name val="Calibri"/>
      <family val="2"/>
    </font>
    <font>
      <sz val="10"/>
      <name val="Calibri (Body)"/>
    </font>
    <font>
      <sz val="10"/>
      <color rgb="FF3F3F76"/>
      <name val="Calibri (Body)"/>
    </font>
    <font>
      <b/>
      <sz val="10"/>
      <color rgb="FFFA7D00"/>
      <name val="Calibri (Body)"/>
    </font>
    <font>
      <b/>
      <sz val="10"/>
      <name val="Calibri (Body)"/>
    </font>
    <font>
      <b/>
      <sz val="10"/>
      <color theme="4"/>
      <name val="Calibri (Body)"/>
    </font>
    <font>
      <sz val="10"/>
      <color rgb="FFFF0000"/>
      <name val="Calibri (Body)"/>
    </font>
    <font>
      <i/>
      <sz val="10"/>
      <color theme="3" tint="0.39997558519241921"/>
      <name val="Calibri (Body)"/>
    </font>
    <font>
      <b/>
      <sz val="11"/>
      <color theme="1"/>
      <name val="Calibri"/>
      <family val="2"/>
    </font>
    <font>
      <b/>
      <i/>
      <sz val="11"/>
      <color theme="1"/>
      <name val="Calibri"/>
      <family val="2"/>
    </font>
    <font>
      <b/>
      <sz val="12"/>
      <color theme="1"/>
      <name val="Calibri"/>
      <family val="2"/>
    </font>
    <font>
      <b/>
      <sz val="14"/>
      <color theme="1"/>
      <name val="Calibri"/>
      <family val="2"/>
    </font>
    <font>
      <sz val="12"/>
      <color theme="1"/>
      <name val="Calibri"/>
      <family val="2"/>
    </font>
    <font>
      <b/>
      <sz val="12"/>
      <name val="Calibri"/>
      <family val="2"/>
    </font>
    <font>
      <sz val="9"/>
      <color rgb="FF000000"/>
      <name val="Tahoma"/>
      <family val="2"/>
    </font>
    <font>
      <b/>
      <sz val="12"/>
      <color rgb="FFFF0000"/>
      <name val="Calibri"/>
      <family val="2"/>
      <scheme val="minor"/>
    </font>
    <font>
      <b/>
      <sz val="12"/>
      <color rgb="FF002060"/>
      <name val="Calibri"/>
      <family val="2"/>
      <scheme val="minor"/>
    </font>
    <font>
      <b/>
      <sz val="12"/>
      <color rgb="FFFFFFFF"/>
      <name val="Calibri"/>
      <family val="2"/>
    </font>
    <font>
      <i/>
      <sz val="12"/>
      <color theme="1"/>
      <name val="Calibri"/>
      <family val="2"/>
    </font>
    <font>
      <b/>
      <sz val="10"/>
      <color rgb="FF000000"/>
      <name val="Calibri"/>
      <family val="2"/>
    </font>
    <font>
      <i/>
      <sz val="10"/>
      <color rgb="FF000000"/>
      <name val="Calibri"/>
      <family val="2"/>
    </font>
    <font>
      <b/>
      <sz val="12"/>
      <color theme="0"/>
      <name val="Calibri"/>
      <family val="2"/>
    </font>
    <font>
      <b/>
      <sz val="12"/>
      <color rgb="FF000000"/>
      <name val="Calibri"/>
      <family val="2"/>
    </font>
    <font>
      <sz val="12"/>
      <color rgb="FF000000"/>
      <name val="Calibri"/>
      <family val="2"/>
    </font>
    <font>
      <b/>
      <sz val="12"/>
      <color rgb="FFFA7D00"/>
      <name val="Calibri"/>
      <family val="2"/>
    </font>
    <font>
      <sz val="12"/>
      <color rgb="FF3F3F76"/>
      <name val="Calibri"/>
      <family val="2"/>
    </font>
    <font>
      <vertAlign val="superscript"/>
      <sz val="12"/>
      <color theme="1"/>
      <name val="Calibri"/>
      <family val="2"/>
    </font>
    <font>
      <sz val="10"/>
      <color indexed="10"/>
      <name val="Calibri"/>
      <family val="2"/>
      <scheme val="minor"/>
    </font>
    <font>
      <b/>
      <sz val="14"/>
      <name val="Calibri"/>
      <family val="2"/>
      <scheme val="minor"/>
    </font>
    <font>
      <sz val="10"/>
      <name val="Calibri"/>
      <family val="2"/>
      <scheme val="minor"/>
    </font>
    <font>
      <b/>
      <sz val="10"/>
      <color indexed="10"/>
      <name val="Calibri"/>
      <family val="2"/>
      <scheme val="minor"/>
    </font>
    <font>
      <u/>
      <sz val="8"/>
      <color indexed="12"/>
      <name val="Calibri"/>
      <family val="2"/>
      <scheme val="minor"/>
    </font>
    <font>
      <b/>
      <sz val="10"/>
      <name val="Calibri"/>
      <family val="2"/>
      <scheme val="minor"/>
    </font>
    <font>
      <sz val="10"/>
      <color rgb="FFFF0000"/>
      <name val="Calibri"/>
      <family val="2"/>
      <scheme val="minor"/>
    </font>
    <font>
      <sz val="10"/>
      <color indexed="12"/>
      <name val="Calibri"/>
      <family val="2"/>
      <scheme val="minor"/>
    </font>
    <font>
      <vertAlign val="subscript"/>
      <sz val="10"/>
      <name val="Calibri"/>
      <family val="2"/>
      <scheme val="minor"/>
    </font>
    <font>
      <b/>
      <sz val="10"/>
      <color rgb="FFFF0000"/>
      <name val="Calibri"/>
      <family val="2"/>
      <scheme val="minor"/>
    </font>
    <font>
      <b/>
      <sz val="11"/>
      <color rgb="FFFF0000"/>
      <name val="Calibri"/>
      <family val="2"/>
    </font>
    <font>
      <b/>
      <vertAlign val="subscript"/>
      <sz val="12"/>
      <color rgb="FFFF0000"/>
      <name val="Calibri"/>
      <family val="2"/>
      <scheme val="minor"/>
    </font>
    <font>
      <sz val="12"/>
      <color rgb="FFFF0000"/>
      <name val="Calibri"/>
      <family val="2"/>
    </font>
    <font>
      <b/>
      <sz val="12"/>
      <color rgb="FFFF0000"/>
      <name val="Calibri"/>
      <family val="2"/>
    </font>
    <font>
      <b/>
      <sz val="16"/>
      <color rgb="FF202124"/>
      <name val="Arial"/>
      <family val="2"/>
    </font>
    <font>
      <sz val="11"/>
      <color rgb="FF3F3F76"/>
      <name val="Quicksand"/>
      <family val="2"/>
    </font>
    <font>
      <b/>
      <sz val="16"/>
      <color rgb="FFFF0000"/>
      <name val="Calibri"/>
      <family val="2"/>
      <scheme val="minor"/>
    </font>
    <font>
      <sz val="11"/>
      <color theme="3"/>
      <name val="Calibri"/>
      <family val="2"/>
      <scheme val="minor"/>
    </font>
    <font>
      <b/>
      <i/>
      <sz val="11"/>
      <color theme="1"/>
      <name val="Calibri"/>
      <family val="2"/>
      <scheme val="minor"/>
    </font>
    <font>
      <b/>
      <i/>
      <u/>
      <sz val="14"/>
      <color theme="10"/>
      <name val="Calibri"/>
      <family val="2"/>
      <scheme val="minor"/>
    </font>
    <font>
      <b/>
      <i/>
      <sz val="14"/>
      <color theme="1"/>
      <name val="Calibri"/>
      <family val="2"/>
      <scheme val="minor"/>
    </font>
    <font>
      <b/>
      <sz val="12"/>
      <color rgb="FF3F3F76"/>
      <name val="Calibri"/>
      <family val="2"/>
      <scheme val="minor"/>
    </font>
    <font>
      <b/>
      <sz val="12"/>
      <color theme="4"/>
      <name val="Calibri"/>
      <family val="2"/>
      <scheme val="minor"/>
    </font>
    <font>
      <sz val="12"/>
      <color rgb="FFFA7D00"/>
      <name val="Calibri"/>
      <family val="2"/>
      <scheme val="minor"/>
    </font>
    <font>
      <b/>
      <sz val="12"/>
      <color rgb="FF3F3F76"/>
      <name val="Calibri"/>
      <family val="2"/>
    </font>
    <font>
      <sz val="12"/>
      <color rgb="FFFA7D00"/>
      <name val="Calibri"/>
      <family val="2"/>
    </font>
    <font>
      <sz val="11"/>
      <color rgb="FF454545"/>
      <name val="Calibri"/>
      <family val="2"/>
      <scheme val="minor"/>
    </font>
    <font>
      <b/>
      <sz val="11"/>
      <color rgb="FF454545"/>
      <name val="Calibri"/>
      <family val="2"/>
      <scheme val="minor"/>
    </font>
    <font>
      <sz val="11"/>
      <color theme="0" tint="-0.499984740745262"/>
      <name val="Calibri"/>
      <family val="2"/>
      <scheme val="minor"/>
    </font>
    <font>
      <sz val="11"/>
      <color rgb="FF002060"/>
      <name val="Calibri"/>
      <family val="2"/>
      <scheme val="minor"/>
    </font>
    <font>
      <b/>
      <sz val="16"/>
      <color theme="0"/>
      <name val="Calibri"/>
      <family val="2"/>
      <scheme val="minor"/>
    </font>
    <font>
      <b/>
      <sz val="14"/>
      <color theme="1"/>
      <name val="Calibri"/>
      <family val="2"/>
      <scheme val="minor"/>
    </font>
    <font>
      <b/>
      <sz val="16"/>
      <color theme="1"/>
      <name val="Calibri"/>
      <family val="2"/>
      <scheme val="minor"/>
    </font>
    <font>
      <b/>
      <sz val="14"/>
      <color theme="5"/>
      <name val="Calibri"/>
      <family val="2"/>
      <scheme val="minor"/>
    </font>
    <font>
      <sz val="14"/>
      <color theme="1"/>
      <name val="Calibri"/>
      <family val="2"/>
      <scheme val="minor"/>
    </font>
    <font>
      <vertAlign val="superscript"/>
      <sz val="11"/>
      <color theme="1"/>
      <name val="Calibri"/>
      <family val="2"/>
    </font>
    <font>
      <b/>
      <sz val="10"/>
      <color theme="1"/>
      <name val="Calibri"/>
      <family val="2"/>
      <scheme val="minor"/>
    </font>
    <font>
      <b/>
      <sz val="16"/>
      <name val="Calibri"/>
      <family val="2"/>
      <scheme val="minor"/>
    </font>
    <font>
      <b/>
      <sz val="12"/>
      <color rgb="FF321E5A"/>
      <name val="Calibri"/>
      <family val="2"/>
      <scheme val="minor"/>
    </font>
    <font>
      <sz val="12"/>
      <color rgb="FF321E5A"/>
      <name val="Calibri"/>
      <family val="2"/>
      <scheme val="minor"/>
    </font>
    <font>
      <i/>
      <sz val="9"/>
      <name val="Calibri"/>
      <family val="2"/>
      <scheme val="minor"/>
    </font>
    <font>
      <sz val="10"/>
      <color theme="1"/>
      <name val="Calibri"/>
      <family val="2"/>
      <scheme val="minor"/>
    </font>
    <font>
      <sz val="7"/>
      <color theme="1"/>
      <name val="Calibri"/>
      <family val="2"/>
      <scheme val="minor"/>
    </font>
    <font>
      <i/>
      <sz val="10"/>
      <color theme="1"/>
      <name val="Calibri"/>
      <family val="2"/>
      <scheme val="minor"/>
    </font>
    <font>
      <sz val="8"/>
      <color theme="1"/>
      <name val="Calibri"/>
      <family val="2"/>
      <scheme val="minor"/>
    </font>
    <font>
      <sz val="9"/>
      <color theme="0" tint="-0.34998626667073579"/>
      <name val="Calibri"/>
      <family val="2"/>
      <scheme val="minor"/>
    </font>
    <font>
      <sz val="16"/>
      <color rgb="FF0000CC"/>
      <name val="Calibri"/>
      <family val="2"/>
      <scheme val="minor"/>
    </font>
    <font>
      <sz val="9"/>
      <name val="Calibri"/>
      <family val="2"/>
      <scheme val="minor"/>
    </font>
    <font>
      <sz val="9"/>
      <color indexed="55"/>
      <name val="Calibri"/>
      <family val="2"/>
      <scheme val="minor"/>
    </font>
    <font>
      <b/>
      <sz val="9"/>
      <name val="Calibri"/>
      <family val="2"/>
      <scheme val="minor"/>
    </font>
    <font>
      <sz val="9"/>
      <color theme="0" tint="-0.14999847407452621"/>
      <name val="Calibri"/>
      <family val="2"/>
      <scheme val="minor"/>
    </font>
    <font>
      <b/>
      <sz val="14"/>
      <color rgb="FF009900"/>
      <name val="Calibri"/>
      <family val="2"/>
      <scheme val="minor"/>
    </font>
    <font>
      <sz val="9"/>
      <color theme="1" tint="0.249977111117893"/>
      <name val="Calibri"/>
      <family val="2"/>
      <scheme val="minor"/>
    </font>
    <font>
      <b/>
      <sz val="14"/>
      <color theme="1" tint="0.249977111117893"/>
      <name val="Calibri"/>
      <family val="2"/>
      <scheme val="minor"/>
    </font>
    <font>
      <b/>
      <sz val="14"/>
      <color rgb="FFFF0000"/>
      <name val="Calibri"/>
      <family val="2"/>
      <scheme val="minor"/>
    </font>
    <font>
      <b/>
      <sz val="9"/>
      <color theme="0" tint="-0.499984740745262"/>
      <name val="Calibri"/>
      <family val="2"/>
      <scheme val="minor"/>
    </font>
    <font>
      <sz val="9"/>
      <color theme="0" tint="-0.499984740745262"/>
      <name val="Calibri"/>
      <family val="2"/>
      <scheme val="minor"/>
    </font>
    <font>
      <b/>
      <sz val="9"/>
      <color theme="1" tint="0.249977111117893"/>
      <name val="Calibri"/>
      <family val="2"/>
      <scheme val="minor"/>
    </font>
    <font>
      <sz val="9"/>
      <color theme="1"/>
      <name val="Calibri"/>
      <family val="2"/>
      <scheme val="minor"/>
    </font>
    <font>
      <b/>
      <u/>
      <sz val="11"/>
      <color theme="6"/>
      <name val="Calibri"/>
      <family val="2"/>
      <scheme val="minor"/>
    </font>
    <font>
      <b/>
      <sz val="11"/>
      <color theme="6"/>
      <name val="Calibri"/>
      <family val="2"/>
      <scheme val="minor"/>
    </font>
    <font>
      <sz val="11"/>
      <color rgb="FF00B0F0"/>
      <name val="Calibri"/>
      <family val="2"/>
      <scheme val="minor"/>
    </font>
    <font>
      <sz val="12"/>
      <color theme="0" tint="-0.499984740745262"/>
      <name val="Calibri"/>
      <family val="2"/>
      <scheme val="minor"/>
    </font>
    <font>
      <i/>
      <sz val="12"/>
      <color theme="1" tint="0.499984740745262"/>
      <name val="Calibri"/>
      <family val="2"/>
      <scheme val="minor"/>
    </font>
    <font>
      <b/>
      <sz val="12"/>
      <color rgb="FF033878"/>
      <name val="Calibri"/>
      <family val="2"/>
      <scheme val="minor"/>
    </font>
    <font>
      <sz val="12"/>
      <name val="Calibri (Body)"/>
    </font>
    <font>
      <i/>
      <sz val="12"/>
      <color theme="0" tint="-0.499984740745262"/>
      <name val="Calibri"/>
      <family val="2"/>
      <scheme val="minor"/>
    </font>
    <font>
      <sz val="16"/>
      <name val="Calibri"/>
      <family val="2"/>
      <scheme val="minor"/>
    </font>
    <font>
      <b/>
      <sz val="16"/>
      <color theme="1"/>
      <name val="Calibri"/>
      <family val="2"/>
    </font>
    <font>
      <b/>
      <sz val="16"/>
      <color theme="3"/>
      <name val="Calibri"/>
      <family val="2"/>
      <scheme val="minor"/>
    </font>
    <font>
      <b/>
      <sz val="16"/>
      <color theme="4"/>
      <name val="Calibri"/>
      <family val="2"/>
      <scheme val="minor"/>
    </font>
    <font>
      <vertAlign val="superscript"/>
      <sz val="11"/>
      <color theme="1"/>
      <name val="Calibri"/>
      <family val="2"/>
      <scheme val="minor"/>
    </font>
    <font>
      <b/>
      <sz val="11"/>
      <color rgb="FF000000"/>
      <name val="Quicksand"/>
    </font>
    <font>
      <sz val="11"/>
      <color rgb="FF000000"/>
      <name val="Quicksand"/>
      <family val="2"/>
    </font>
  </fonts>
  <fills count="70">
    <fill>
      <patternFill patternType="none"/>
    </fill>
    <fill>
      <patternFill patternType="gray125"/>
    </fill>
    <fill>
      <patternFill patternType="solid">
        <fgColor rgb="FFFFFF00"/>
        <bgColor indexed="64"/>
      </patternFill>
    </fill>
    <fill>
      <patternFill patternType="solid">
        <fgColor theme="0" tint="-4.9989318521683403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rgb="FF00B0F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indexed="43"/>
        <bgColor indexed="64"/>
      </patternFill>
    </fill>
    <fill>
      <patternFill patternType="solid">
        <fgColor indexed="13"/>
        <bgColor indexed="64"/>
      </patternFill>
    </fill>
    <fill>
      <patternFill patternType="solid">
        <fgColor theme="4"/>
        <bgColor indexed="64"/>
      </patternFill>
    </fill>
    <fill>
      <patternFill patternType="solid">
        <fgColor theme="4" tint="0.79998168889431442"/>
        <bgColor indexed="64"/>
      </patternFill>
    </fill>
    <fill>
      <patternFill patternType="solid">
        <fgColor rgb="FFFF0000"/>
        <bgColor indexed="64"/>
      </patternFill>
    </fill>
    <fill>
      <patternFill patternType="solid">
        <fgColor rgb="FF92D050"/>
        <bgColor indexed="64"/>
      </patternFill>
    </fill>
    <fill>
      <patternFill patternType="solid">
        <fgColor indexed="9"/>
        <bgColor indexed="64"/>
      </patternFill>
    </fill>
    <fill>
      <patternFill patternType="solid">
        <fgColor indexed="2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8" tint="0.79998168889431442"/>
        <bgColor indexed="64"/>
      </patternFill>
    </fill>
    <fill>
      <patternFill patternType="solid">
        <fgColor rgb="FFFFFF99"/>
        <bgColor indexed="64"/>
      </patternFill>
    </fill>
    <fill>
      <patternFill patternType="solid">
        <fgColor rgb="FFFFFFCC"/>
        <bgColor indexed="64"/>
      </patternFill>
    </fill>
    <fill>
      <patternFill patternType="solid">
        <fgColor theme="6"/>
        <bgColor indexed="64"/>
      </patternFill>
    </fill>
    <fill>
      <patternFill patternType="solid">
        <fgColor theme="9" tint="0.79998168889431442"/>
        <bgColor indexed="64"/>
      </patternFill>
    </fill>
    <fill>
      <patternFill patternType="solid">
        <fgColor theme="5"/>
        <bgColor indexed="64"/>
      </patternFill>
    </fill>
    <fill>
      <patternFill patternType="solid">
        <fgColor theme="7"/>
        <bgColor indexed="64"/>
      </patternFill>
    </fill>
    <fill>
      <patternFill patternType="solid">
        <fgColor theme="7" tint="0.59999389629810485"/>
        <bgColor indexed="64"/>
      </patternFill>
    </fill>
    <fill>
      <patternFill patternType="solid">
        <fgColor theme="4" tint="0.89999084444715716"/>
        <bgColor indexed="64"/>
      </patternFill>
    </fill>
    <fill>
      <patternFill patternType="solid">
        <fgColor theme="4" tint="0.499984740745262"/>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7" tint="0.79998168889431442"/>
        <bgColor indexed="64"/>
      </patternFill>
    </fill>
    <fill>
      <patternFill patternType="solid">
        <fgColor rgb="FFEAEAEA"/>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3" tint="0.499984740745262"/>
        <bgColor indexed="64"/>
      </patternFill>
    </fill>
    <fill>
      <patternFill patternType="solid">
        <fgColor theme="3" tint="0.89999084444715716"/>
        <bgColor indexed="64"/>
      </patternFill>
    </fill>
  </fills>
  <borders count="319">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rgb="FF000000"/>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thin">
        <color rgb="FF000000"/>
      </left>
      <right style="medium">
        <color indexed="64"/>
      </right>
      <top style="thin">
        <color rgb="FF000000"/>
      </top>
      <bottom/>
      <diagonal/>
    </border>
    <border>
      <left style="thin">
        <color rgb="FF000000"/>
      </left>
      <right style="medium">
        <color indexed="64"/>
      </right>
      <top/>
      <bottom style="medium">
        <color indexed="64"/>
      </bottom>
      <diagonal/>
    </border>
    <border>
      <left/>
      <right style="thin">
        <color rgb="FF000000"/>
      </right>
      <top/>
      <bottom style="medium">
        <color rgb="FF000000"/>
      </bottom>
      <diagonal/>
    </border>
    <border>
      <left style="thin">
        <color rgb="FF000000"/>
      </left>
      <right style="medium">
        <color rgb="FF000000"/>
      </right>
      <top/>
      <bottom style="medium">
        <color rgb="FF000000"/>
      </bottom>
      <diagonal/>
    </border>
    <border>
      <left style="thin">
        <color rgb="FF000000"/>
      </left>
      <right style="medium">
        <color rgb="FF000000"/>
      </right>
      <top/>
      <bottom style="thin">
        <color rgb="FF000000"/>
      </bottom>
      <diagonal/>
    </border>
    <border>
      <left/>
      <right style="medium">
        <color rgb="FF000000"/>
      </right>
      <top/>
      <bottom style="thin">
        <color rgb="FF000000"/>
      </bottom>
      <diagonal/>
    </border>
    <border>
      <left style="medium">
        <color indexed="64"/>
      </left>
      <right style="medium">
        <color rgb="FF000000"/>
      </right>
      <top style="thin">
        <color rgb="FF000000"/>
      </top>
      <bottom/>
      <diagonal/>
    </border>
    <border>
      <left style="medium">
        <color indexed="64"/>
      </left>
      <right style="medium">
        <color rgb="FF000000"/>
      </right>
      <top/>
      <bottom style="medium">
        <color rgb="FF000000"/>
      </bottom>
      <diagonal/>
    </border>
    <border>
      <left style="medium">
        <color rgb="FF000000"/>
      </left>
      <right style="medium">
        <color rgb="FF000000"/>
      </right>
      <top style="thin">
        <color rgb="FF000000"/>
      </top>
      <bottom/>
      <diagonal/>
    </border>
    <border>
      <left style="medium">
        <color rgb="FF000000"/>
      </left>
      <right style="thin">
        <color rgb="FF000000"/>
      </right>
      <top style="thin">
        <color rgb="FF000000"/>
      </top>
      <bottom/>
      <diagonal/>
    </border>
    <border>
      <left style="medium">
        <color rgb="FF000000"/>
      </left>
      <right style="thin">
        <color rgb="FF000000"/>
      </right>
      <top/>
      <bottom style="medium">
        <color rgb="FF000000"/>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style="thin">
        <color auto="1"/>
      </right>
      <top/>
      <bottom style="hair">
        <color auto="1"/>
      </bottom>
      <diagonal/>
    </border>
    <border>
      <left style="hair">
        <color auto="1"/>
      </left>
      <right style="hair">
        <color auto="1"/>
      </right>
      <top style="hair">
        <color auto="1"/>
      </top>
      <bottom style="medium">
        <color indexed="64"/>
      </bottom>
      <diagonal/>
    </border>
    <border>
      <left style="hair">
        <color auto="1"/>
      </left>
      <right style="thin">
        <color auto="1"/>
      </right>
      <top style="hair">
        <color auto="1"/>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auto="1"/>
      </left>
      <right style="hair">
        <color auto="1"/>
      </right>
      <top style="thin">
        <color auto="1"/>
      </top>
      <bottom style="thin">
        <color indexed="64"/>
      </bottom>
      <diagonal/>
    </border>
    <border>
      <left style="hair">
        <color auto="1"/>
      </left>
      <right style="thin">
        <color auto="1"/>
      </right>
      <top style="thin">
        <color auto="1"/>
      </top>
      <bottom style="thin">
        <color indexed="64"/>
      </bottom>
      <diagonal/>
    </border>
    <border>
      <left style="hair">
        <color auto="1"/>
      </left>
      <right style="hair">
        <color auto="1"/>
      </right>
      <top style="thin">
        <color auto="1"/>
      </top>
      <bottom style="thin">
        <color indexed="64"/>
      </bottom>
      <diagonal/>
    </border>
    <border>
      <left/>
      <right style="thin">
        <color auto="1"/>
      </right>
      <top style="thin">
        <color auto="1"/>
      </top>
      <bottom style="thin">
        <color indexed="64"/>
      </bottom>
      <diagonal/>
    </border>
    <border>
      <left style="thick">
        <color rgb="FFFF0000"/>
      </left>
      <right/>
      <top style="thick">
        <color rgb="FFFF0000"/>
      </top>
      <bottom style="thick">
        <color rgb="FFFF0000"/>
      </bottom>
      <diagonal/>
    </border>
    <border>
      <left/>
      <right style="thick">
        <color rgb="FFFF0000"/>
      </right>
      <top style="thick">
        <color rgb="FFFF0000"/>
      </top>
      <bottom style="thick">
        <color rgb="FFFF0000"/>
      </bottom>
      <diagonal/>
    </border>
    <border>
      <left/>
      <right style="hair">
        <color auto="1"/>
      </right>
      <top style="thin">
        <color auto="1"/>
      </top>
      <bottom style="hair">
        <color auto="1"/>
      </bottom>
      <diagonal/>
    </border>
    <border>
      <left/>
      <right style="hair">
        <color auto="1"/>
      </right>
      <top style="hair">
        <color auto="1"/>
      </top>
      <bottom style="hair">
        <color auto="1"/>
      </bottom>
      <diagonal/>
    </border>
    <border>
      <left style="thin">
        <color rgb="FF7F7F7F"/>
      </left>
      <right style="thin">
        <color rgb="FF7F7F7F"/>
      </right>
      <top/>
      <bottom style="thin">
        <color rgb="FF7F7F7F"/>
      </bottom>
      <diagonal/>
    </border>
    <border>
      <left style="thin">
        <color auto="1"/>
      </left>
      <right/>
      <top style="hair">
        <color auto="1"/>
      </top>
      <bottom style="medium">
        <color indexed="64"/>
      </bottom>
      <diagonal/>
    </border>
    <border>
      <left/>
      <right style="thin">
        <color auto="1"/>
      </right>
      <top style="hair">
        <color auto="1"/>
      </top>
      <bottom style="medium">
        <color indexed="64"/>
      </bottom>
      <diagonal/>
    </border>
    <border>
      <left style="thin">
        <color rgb="FF7F7F7F"/>
      </left>
      <right style="thin">
        <color rgb="FF7F7F7F"/>
      </right>
      <top style="thin">
        <color rgb="FF7F7F7F"/>
      </top>
      <bottom style="medium">
        <color indexed="64"/>
      </bottom>
      <diagonal/>
    </border>
    <border>
      <left style="hair">
        <color auto="1"/>
      </left>
      <right style="thin">
        <color auto="1"/>
      </right>
      <top style="medium">
        <color indexed="64"/>
      </top>
      <bottom style="hair">
        <color auto="1"/>
      </bottom>
      <diagonal/>
    </border>
    <border>
      <left style="thin">
        <color rgb="FF7F7F7F"/>
      </left>
      <right style="thin">
        <color rgb="FF7F7F7F"/>
      </right>
      <top style="medium">
        <color indexed="64"/>
      </top>
      <bottom style="thin">
        <color rgb="FF7F7F7F"/>
      </bottom>
      <diagonal/>
    </border>
    <border>
      <left style="hair">
        <color auto="1"/>
      </left>
      <right style="hair">
        <color auto="1"/>
      </right>
      <top style="medium">
        <color indexed="64"/>
      </top>
      <bottom style="hair">
        <color auto="1"/>
      </bottom>
      <diagonal/>
    </border>
    <border>
      <left/>
      <right style="thin">
        <color theme="0" tint="-0.499984740745262"/>
      </right>
      <top/>
      <bottom style="medium">
        <color indexed="64"/>
      </bottom>
      <diagonal/>
    </border>
    <border>
      <left style="thin">
        <color theme="0" tint="-0.499984740745262"/>
      </left>
      <right style="thin">
        <color theme="0" tint="-0.499984740745262"/>
      </right>
      <top/>
      <bottom style="medium">
        <color indexed="64"/>
      </bottom>
      <diagonal/>
    </border>
    <border>
      <left style="thin">
        <color theme="0" tint="-0.499984740745262"/>
      </left>
      <right/>
      <top/>
      <bottom style="medium">
        <color indexed="64"/>
      </bottom>
      <diagonal/>
    </border>
    <border>
      <left/>
      <right style="thin">
        <color theme="0" tint="-0.499984740745262"/>
      </right>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indexed="64"/>
      </bottom>
      <diagonal/>
    </border>
    <border>
      <left style="thin">
        <color theme="0" tint="-0.499984740745262"/>
      </left>
      <right style="thin">
        <color theme="0" tint="-0.499984740745262"/>
      </right>
      <top style="thin">
        <color theme="0" tint="-0.499984740745262"/>
      </top>
      <bottom style="thin">
        <color indexed="64"/>
      </bottom>
      <diagonal/>
    </border>
    <border>
      <left style="thin">
        <color theme="0" tint="-0.499984740745262"/>
      </left>
      <right/>
      <top style="thin">
        <color theme="0" tint="-0.499984740745262"/>
      </top>
      <bottom style="thin">
        <color indexed="64"/>
      </bottom>
      <diagonal/>
    </border>
    <border>
      <left/>
      <right/>
      <top style="thin">
        <color theme="0" tint="-0.499984740745262"/>
      </top>
      <bottom style="thin">
        <color theme="0" tint="-0.499984740745262"/>
      </bottom>
      <diagonal/>
    </border>
    <border>
      <left/>
      <right/>
      <top/>
      <bottom style="medium">
        <color rgb="FF0070C0"/>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style="thin">
        <color theme="1" tint="4.9989318521683403E-2"/>
      </left>
      <right/>
      <top style="thin">
        <color theme="1" tint="4.9989318521683403E-2"/>
      </top>
      <bottom style="thin">
        <color theme="1" tint="4.9989318521683403E-2"/>
      </bottom>
      <diagonal/>
    </border>
    <border>
      <left/>
      <right style="thin">
        <color theme="1" tint="4.9989318521683403E-2"/>
      </right>
      <top style="thin">
        <color theme="1" tint="4.9989318521683403E-2"/>
      </top>
      <bottom style="thin">
        <color theme="1" tint="4.9989318521683403E-2"/>
      </bottom>
      <diagonal/>
    </border>
    <border>
      <left style="thin">
        <color rgb="FF0070C0"/>
      </left>
      <right style="thin">
        <color rgb="FF0070C0"/>
      </right>
      <top style="thin">
        <color rgb="FF0070C0"/>
      </top>
      <bottom style="thin">
        <color rgb="FF0070C0"/>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medium">
        <color auto="1"/>
      </left>
      <right style="thin">
        <color theme="0" tint="-0.24994659260841701"/>
      </right>
      <top style="medium">
        <color auto="1"/>
      </top>
      <bottom style="thin">
        <color theme="0" tint="-0.24994659260841701"/>
      </bottom>
      <diagonal/>
    </border>
    <border>
      <left style="thin">
        <color theme="0" tint="-0.24994659260841701"/>
      </left>
      <right style="medium">
        <color auto="1"/>
      </right>
      <top style="medium">
        <color auto="1"/>
      </top>
      <bottom style="thin">
        <color theme="0" tint="-0.24994659260841701"/>
      </bottom>
      <diagonal/>
    </border>
    <border>
      <left style="thin">
        <color theme="0" tint="-0.24994659260841701"/>
      </left>
      <right style="thin">
        <color theme="0" tint="-0.24994659260841701"/>
      </right>
      <top style="medium">
        <color auto="1"/>
      </top>
      <bottom style="thin">
        <color theme="0" tint="-0.24994659260841701"/>
      </bottom>
      <diagonal/>
    </border>
    <border>
      <left style="thin">
        <color theme="0" tint="-0.24994659260841701"/>
      </left>
      <right/>
      <top style="medium">
        <color auto="1"/>
      </top>
      <bottom style="thin">
        <color theme="0" tint="-0.24994659260841701"/>
      </bottom>
      <diagonal/>
    </border>
    <border>
      <left style="medium">
        <color theme="0" tint="-0.24994659260841701"/>
      </left>
      <right style="thin">
        <color theme="0" tint="-0.24994659260841701"/>
      </right>
      <top style="medium">
        <color auto="1"/>
      </top>
      <bottom style="thin">
        <color theme="0" tint="-0.24994659260841701"/>
      </bottom>
      <diagonal/>
    </border>
    <border>
      <left style="thin">
        <color theme="0" tint="-0.24994659260841701"/>
      </left>
      <right style="medium">
        <color theme="0" tint="-0.24994659260841701"/>
      </right>
      <top style="medium">
        <color auto="1"/>
      </top>
      <bottom style="thin">
        <color theme="0" tint="-0.24994659260841701"/>
      </bottom>
      <diagonal/>
    </border>
    <border>
      <left/>
      <right style="thin">
        <color theme="0" tint="-0.24994659260841701"/>
      </right>
      <top style="medium">
        <color auto="1"/>
      </top>
      <bottom style="thin">
        <color theme="0" tint="-0.24994659260841701"/>
      </bottom>
      <diagonal/>
    </border>
    <border>
      <left style="medium">
        <color auto="1"/>
      </left>
      <right style="thin">
        <color theme="0" tint="-0.24994659260841701"/>
      </right>
      <top style="thin">
        <color theme="0" tint="-0.24994659260841701"/>
      </top>
      <bottom/>
      <diagonal/>
    </border>
    <border>
      <left style="thin">
        <color theme="0" tint="-0.24994659260841701"/>
      </left>
      <right style="medium">
        <color auto="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
      <left style="medium">
        <color theme="0" tint="-0.24994659260841701"/>
      </left>
      <right style="thin">
        <color theme="0" tint="-0.24994659260841701"/>
      </right>
      <top style="thin">
        <color theme="0" tint="-0.24994659260841701"/>
      </top>
      <bottom/>
      <diagonal/>
    </border>
    <border>
      <left style="thin">
        <color theme="0" tint="-0.24994659260841701"/>
      </left>
      <right style="medium">
        <color theme="0" tint="-0.24994659260841701"/>
      </right>
      <top style="thin">
        <color theme="0" tint="-0.24994659260841701"/>
      </top>
      <bottom/>
      <diagonal/>
    </border>
    <border>
      <left/>
      <right style="thin">
        <color theme="0" tint="-0.24994659260841701"/>
      </right>
      <top style="thin">
        <color theme="0" tint="-0.24994659260841701"/>
      </top>
      <bottom/>
      <diagonal/>
    </border>
    <border>
      <left style="medium">
        <color theme="0" tint="-0.24994659260841701"/>
      </left>
      <right/>
      <top style="medium">
        <color auto="1"/>
      </top>
      <bottom/>
      <diagonal/>
    </border>
    <border>
      <left/>
      <right style="medium">
        <color theme="0" tint="-0.24994659260841701"/>
      </right>
      <top style="medium">
        <color auto="1"/>
      </top>
      <bottom/>
      <diagonal/>
    </border>
    <border>
      <left style="medium">
        <color auto="1"/>
      </left>
      <right style="medium">
        <color auto="1"/>
      </right>
      <top/>
      <bottom style="thin">
        <color theme="0" tint="-0.24994659260841701"/>
      </bottom>
      <diagonal/>
    </border>
    <border>
      <left style="medium">
        <color auto="1"/>
      </left>
      <right style="thin">
        <color theme="0" tint="-0.24994659260841701"/>
      </right>
      <top/>
      <bottom style="thin">
        <color theme="0" tint="-0.24994659260841701"/>
      </bottom>
      <diagonal/>
    </border>
    <border>
      <left style="thin">
        <color theme="0" tint="-0.24994659260841701"/>
      </left>
      <right style="medium">
        <color auto="1"/>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style="medium">
        <color theme="0" tint="-0.24994659260841701"/>
      </left>
      <right style="thin">
        <color theme="0" tint="-0.24994659260841701"/>
      </right>
      <top/>
      <bottom style="thin">
        <color theme="0" tint="-0.24994659260841701"/>
      </bottom>
      <diagonal/>
    </border>
    <border>
      <left style="thin">
        <color theme="0" tint="-0.24994659260841701"/>
      </left>
      <right style="medium">
        <color theme="0" tint="-0.24994659260841701"/>
      </right>
      <top/>
      <bottom style="thin">
        <color theme="0" tint="-0.24994659260841701"/>
      </bottom>
      <diagonal/>
    </border>
    <border>
      <left/>
      <right style="thin">
        <color theme="0" tint="-0.24994659260841701"/>
      </right>
      <top/>
      <bottom style="thin">
        <color theme="0" tint="-0.24994659260841701"/>
      </bottom>
      <diagonal/>
    </border>
    <border>
      <left style="medium">
        <color auto="1"/>
      </left>
      <right style="medium">
        <color auto="1"/>
      </right>
      <top style="thin">
        <color theme="0" tint="-0.24994659260841701"/>
      </top>
      <bottom style="thin">
        <color theme="0" tint="-0.24994659260841701"/>
      </bottom>
      <diagonal/>
    </border>
    <border>
      <left style="medium">
        <color auto="1"/>
      </left>
      <right style="thin">
        <color theme="0" tint="-0.24994659260841701"/>
      </right>
      <top style="thin">
        <color theme="0" tint="-0.24994659260841701"/>
      </top>
      <bottom style="thin">
        <color theme="0" tint="-0.24994659260841701"/>
      </bottom>
      <diagonal/>
    </border>
    <border>
      <left style="thin">
        <color theme="0" tint="-0.24994659260841701"/>
      </left>
      <right style="medium">
        <color auto="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medium">
        <color theme="0" tint="-0.24994659260841701"/>
      </right>
      <top style="thin">
        <color theme="0" tint="-0.24994659260841701"/>
      </top>
      <bottom style="thin">
        <color theme="0" tint="-0.24994659260841701"/>
      </bottom>
      <diagonal/>
    </border>
    <border>
      <left style="medium">
        <color auto="1"/>
      </left>
      <right style="medium">
        <color auto="1"/>
      </right>
      <top style="thin">
        <color theme="0" tint="-0.24994659260841701"/>
      </top>
      <bottom/>
      <diagonal/>
    </border>
    <border>
      <left style="medium">
        <color auto="1"/>
      </left>
      <right style="medium">
        <color auto="1"/>
      </right>
      <top style="thin">
        <color theme="0" tint="-0.24994659260841701"/>
      </top>
      <bottom style="medium">
        <color auto="1"/>
      </bottom>
      <diagonal/>
    </border>
    <border>
      <left style="medium">
        <color auto="1"/>
      </left>
      <right style="thin">
        <color theme="0" tint="-0.24994659260841701"/>
      </right>
      <top style="thin">
        <color theme="0" tint="-0.24994659260841701"/>
      </top>
      <bottom style="medium">
        <color auto="1"/>
      </bottom>
      <diagonal/>
    </border>
    <border>
      <left style="thin">
        <color theme="0" tint="-0.24994659260841701"/>
      </left>
      <right style="medium">
        <color auto="1"/>
      </right>
      <top style="thin">
        <color theme="0" tint="-0.24994659260841701"/>
      </top>
      <bottom style="medium">
        <color auto="1"/>
      </bottom>
      <diagonal/>
    </border>
    <border>
      <left style="thin">
        <color theme="0" tint="-0.24994659260841701"/>
      </left>
      <right style="thin">
        <color theme="0" tint="-0.24994659260841701"/>
      </right>
      <top style="thin">
        <color theme="0" tint="-0.24994659260841701"/>
      </top>
      <bottom style="medium">
        <color auto="1"/>
      </bottom>
      <diagonal/>
    </border>
    <border>
      <left style="thin">
        <color theme="0" tint="-0.24994659260841701"/>
      </left>
      <right/>
      <top style="thin">
        <color theme="0" tint="-0.24994659260841701"/>
      </top>
      <bottom style="medium">
        <color auto="1"/>
      </bottom>
      <diagonal/>
    </border>
    <border>
      <left style="medium">
        <color theme="0" tint="-0.24994659260841701"/>
      </left>
      <right style="thin">
        <color theme="0" tint="-0.24994659260841701"/>
      </right>
      <top style="thin">
        <color theme="0" tint="-0.24994659260841701"/>
      </top>
      <bottom style="medium">
        <color auto="1"/>
      </bottom>
      <diagonal/>
    </border>
    <border>
      <left style="thin">
        <color theme="0" tint="-0.24994659260841701"/>
      </left>
      <right style="medium">
        <color theme="0" tint="-0.24994659260841701"/>
      </right>
      <top style="thin">
        <color theme="0" tint="-0.24994659260841701"/>
      </top>
      <bottom style="medium">
        <color auto="1"/>
      </bottom>
      <diagonal/>
    </border>
    <border>
      <left/>
      <right style="thin">
        <color theme="0" tint="-0.24994659260841701"/>
      </right>
      <top style="thin">
        <color theme="0" tint="-0.24994659260841701"/>
      </top>
      <bottom style="medium">
        <color auto="1"/>
      </bottom>
      <diagonal/>
    </border>
    <border>
      <left style="thin">
        <color indexed="64"/>
      </left>
      <right/>
      <top style="thin">
        <color indexed="64"/>
      </top>
      <bottom style="thin">
        <color indexed="64"/>
      </bottom>
      <diagonal/>
    </border>
    <border>
      <left/>
      <right style="thin">
        <color rgb="FF7F7F7F"/>
      </right>
      <top/>
      <bottom/>
      <diagonal/>
    </border>
    <border>
      <left style="thin">
        <color rgb="FF7F7F7F"/>
      </left>
      <right/>
      <top/>
      <bottom/>
      <diagonal/>
    </border>
    <border>
      <left style="thin">
        <color indexed="64"/>
      </left>
      <right style="thin">
        <color rgb="FF7F7F7F"/>
      </right>
      <top style="thin">
        <color indexed="64"/>
      </top>
      <bottom style="thin">
        <color rgb="FF7F7F7F"/>
      </bottom>
      <diagonal/>
    </border>
    <border>
      <left style="thin">
        <color rgb="FF7F7F7F"/>
      </left>
      <right style="thin">
        <color rgb="FF7F7F7F"/>
      </right>
      <top style="thin">
        <color indexed="64"/>
      </top>
      <bottom style="thin">
        <color rgb="FF7F7F7F"/>
      </bottom>
      <diagonal/>
    </border>
    <border>
      <left style="thin">
        <color rgb="FF7F7F7F"/>
      </left>
      <right/>
      <top style="thin">
        <color indexed="64"/>
      </top>
      <bottom style="thin">
        <color rgb="FF7F7F7F"/>
      </bottom>
      <diagonal/>
    </border>
    <border>
      <left style="thin">
        <color rgb="FF7F7F7F"/>
      </left>
      <right style="thin">
        <color indexed="64"/>
      </right>
      <top style="thin">
        <color indexed="64"/>
      </top>
      <bottom style="thin">
        <color rgb="FF7F7F7F"/>
      </bottom>
      <diagonal/>
    </border>
    <border>
      <left style="thin">
        <color indexed="64"/>
      </left>
      <right style="thin">
        <color indexed="64"/>
      </right>
      <top style="thin">
        <color rgb="FF7F7F7F"/>
      </top>
      <bottom style="thin">
        <color rgb="FF7F7F7F"/>
      </bottom>
      <diagonal/>
    </border>
    <border>
      <left/>
      <right style="thin">
        <color rgb="FF7F7F7F"/>
      </right>
      <top/>
      <bottom style="thin">
        <color rgb="FF7F7F7F"/>
      </bottom>
      <diagonal/>
    </border>
    <border>
      <left style="thin">
        <color rgb="FF7F7F7F"/>
      </left>
      <right style="thin">
        <color indexed="64"/>
      </right>
      <top style="thin">
        <color rgb="FF7F7F7F"/>
      </top>
      <bottom style="thin">
        <color rgb="FF7F7F7F"/>
      </bottom>
      <diagonal/>
    </border>
    <border>
      <left style="thin">
        <color indexed="64"/>
      </left>
      <right style="thin">
        <color indexed="64"/>
      </right>
      <top/>
      <bottom/>
      <diagonal/>
    </border>
    <border>
      <left style="thin">
        <color rgb="FF7F7F7F"/>
      </left>
      <right style="thin">
        <color rgb="FF7F7F7F"/>
      </right>
      <top style="thin">
        <color rgb="FF7F7F7F"/>
      </top>
      <bottom style="thin">
        <color indexed="64"/>
      </bottom>
      <diagonal/>
    </border>
    <border>
      <left/>
      <right style="thin">
        <color rgb="FF7F7F7F"/>
      </right>
      <top style="thin">
        <color rgb="FF7F7F7F"/>
      </top>
      <bottom style="thin">
        <color rgb="FF7F7F7F"/>
      </bottom>
      <diagonal/>
    </border>
    <border>
      <left style="thin">
        <color rgb="FF7F7F7F"/>
      </left>
      <right style="thin">
        <color rgb="FF7F7F7F"/>
      </right>
      <top style="thin">
        <color indexed="64"/>
      </top>
      <bottom style="thin">
        <color indexed="64"/>
      </bottom>
      <diagonal/>
    </border>
    <border>
      <left style="thin">
        <color rgb="FF7F7F7F"/>
      </left>
      <right/>
      <top style="thin">
        <color indexed="64"/>
      </top>
      <bottom style="thin">
        <color indexed="64"/>
      </bottom>
      <diagonal/>
    </border>
    <border>
      <left style="thin">
        <color rgb="FF7F7F7F"/>
      </left>
      <right/>
      <top/>
      <bottom style="thin">
        <color rgb="FF7F7F7F"/>
      </bottom>
      <diagonal/>
    </border>
    <border>
      <left/>
      <right style="thin">
        <color indexed="64"/>
      </right>
      <top/>
      <bottom style="medium">
        <color indexed="64"/>
      </bottom>
      <diagonal/>
    </border>
    <border>
      <left style="thin">
        <color indexed="64"/>
      </left>
      <right/>
      <top/>
      <bottom style="double">
        <color indexed="64"/>
      </bottom>
      <diagonal/>
    </border>
    <border>
      <left/>
      <right/>
      <top/>
      <bottom style="double">
        <color indexed="64"/>
      </bottom>
      <diagonal/>
    </border>
    <border>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theme="0" tint="-0.34998626667073579"/>
      </left>
      <right/>
      <top style="thin">
        <color theme="0" tint="-0.34998626667073579"/>
      </top>
      <bottom style="hair">
        <color theme="0" tint="-0.24994659260841701"/>
      </bottom>
      <diagonal/>
    </border>
    <border>
      <left/>
      <right/>
      <top style="thin">
        <color theme="0" tint="-0.34998626667073579"/>
      </top>
      <bottom style="hair">
        <color theme="0" tint="-0.24994659260841701"/>
      </bottom>
      <diagonal/>
    </border>
    <border>
      <left style="thin">
        <color theme="0" tint="-0.34998626667073579"/>
      </left>
      <right style="hair">
        <color theme="0" tint="-0.24994659260841701"/>
      </right>
      <top style="thin">
        <color theme="0" tint="-0.34998626667073579"/>
      </top>
      <bottom style="hair">
        <color theme="0" tint="-0.24994659260841701"/>
      </bottom>
      <diagonal/>
    </border>
    <border>
      <left style="hair">
        <color theme="0" tint="-0.24994659260841701"/>
      </left>
      <right style="hair">
        <color theme="0" tint="-0.24994659260841701"/>
      </right>
      <top style="thin">
        <color theme="0" tint="-0.34998626667073579"/>
      </top>
      <bottom style="hair">
        <color theme="0" tint="-0.24994659260841701"/>
      </bottom>
      <diagonal/>
    </border>
    <border>
      <left style="hair">
        <color theme="0" tint="-0.24994659260841701"/>
      </left>
      <right style="thin">
        <color theme="0" tint="-0.34998626667073579"/>
      </right>
      <top style="thin">
        <color theme="0" tint="-0.34998626667073579"/>
      </top>
      <bottom style="hair">
        <color theme="0" tint="-0.24994659260841701"/>
      </bottom>
      <diagonal/>
    </border>
    <border>
      <left style="thin">
        <color theme="0" tint="-0.34998626667073579"/>
      </left>
      <right style="thin">
        <color theme="0" tint="-0.34998626667073579"/>
      </right>
      <top style="thin">
        <color theme="0" tint="-0.34998626667073579"/>
      </top>
      <bottom/>
      <diagonal/>
    </border>
    <border>
      <left style="thin">
        <color theme="0" tint="-0.24994659260841701"/>
      </left>
      <right style="hair">
        <color theme="0" tint="-0.24994659260841701"/>
      </right>
      <top style="hair">
        <color theme="0" tint="-0.24994659260841701"/>
      </top>
      <bottom style="thin">
        <color theme="0" tint="-0.34998626667073579"/>
      </bottom>
      <diagonal/>
    </border>
    <border>
      <left style="hair">
        <color theme="0" tint="-0.24994659260841701"/>
      </left>
      <right style="hair">
        <color theme="0" tint="-0.24994659260841701"/>
      </right>
      <top style="hair">
        <color theme="0" tint="-0.24994659260841701"/>
      </top>
      <bottom style="thin">
        <color theme="0" tint="-0.34998626667073579"/>
      </bottom>
      <diagonal/>
    </border>
    <border>
      <left style="hair">
        <color theme="0" tint="-0.24994659260841701"/>
      </left>
      <right style="thin">
        <color theme="0" tint="-0.24994659260841701"/>
      </right>
      <top style="hair">
        <color theme="0" tint="-0.24994659260841701"/>
      </top>
      <bottom style="thin">
        <color theme="0" tint="-0.34998626667073579"/>
      </bottom>
      <diagonal/>
    </border>
    <border>
      <left/>
      <right style="hair">
        <color theme="0" tint="-0.24994659260841701"/>
      </right>
      <top style="hair">
        <color theme="0" tint="-0.24994659260841701"/>
      </top>
      <bottom style="thin">
        <color theme="0" tint="-0.34998626667073579"/>
      </bottom>
      <diagonal/>
    </border>
    <border>
      <left/>
      <right/>
      <top style="hair">
        <color theme="0" tint="-0.24994659260841701"/>
      </top>
      <bottom style="thin">
        <color theme="0" tint="-0.34998626667073579"/>
      </bottom>
      <diagonal/>
    </border>
    <border>
      <left style="thin">
        <color theme="0" tint="-0.34998626667073579"/>
      </left>
      <right style="hair">
        <color theme="0" tint="-0.24994659260841701"/>
      </right>
      <top style="hair">
        <color theme="0" tint="-0.24994659260841701"/>
      </top>
      <bottom style="thin">
        <color theme="0" tint="-0.34998626667073579"/>
      </bottom>
      <diagonal/>
    </border>
    <border>
      <left style="hair">
        <color theme="0" tint="-0.24994659260841701"/>
      </left>
      <right style="thin">
        <color theme="0" tint="-0.34998626667073579"/>
      </right>
      <top style="hair">
        <color theme="0" tint="-0.24994659260841701"/>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24994659260841701"/>
      </left>
      <right style="hair">
        <color theme="0" tint="-0.24994659260841701"/>
      </right>
      <top style="thin">
        <color theme="0" tint="-0.34998626667073579"/>
      </top>
      <bottom style="hair">
        <color theme="0" tint="-0.24994659260841701"/>
      </bottom>
      <diagonal/>
    </border>
    <border>
      <left style="hair">
        <color theme="0" tint="-0.24994659260841701"/>
      </left>
      <right style="thin">
        <color theme="0" tint="-0.24994659260841701"/>
      </right>
      <top style="thin">
        <color theme="0" tint="-0.34998626667073579"/>
      </top>
      <bottom style="hair">
        <color theme="0" tint="-0.24994659260841701"/>
      </bottom>
      <diagonal/>
    </border>
    <border>
      <left/>
      <right style="hair">
        <color theme="0" tint="-0.24994659260841701"/>
      </right>
      <top style="thin">
        <color theme="0" tint="-0.34998626667073579"/>
      </top>
      <bottom style="hair">
        <color theme="0" tint="-0.24994659260841701"/>
      </bottom>
      <diagonal/>
    </border>
    <border>
      <left style="thin">
        <color theme="0" tint="-0.34998626667073579"/>
      </left>
      <right style="thin">
        <color theme="0" tint="-0.34998626667073579"/>
      </right>
      <top style="thin">
        <color theme="0" tint="-0.34998626667073579"/>
      </top>
      <bottom style="hair">
        <color theme="0" tint="-0.24994659260841701"/>
      </bottom>
      <diagonal/>
    </border>
    <border>
      <left style="thin">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thin">
        <color theme="0" tint="-0.24994659260841701"/>
      </right>
      <top style="hair">
        <color theme="0" tint="-0.24994659260841701"/>
      </top>
      <bottom style="hair">
        <color theme="0" tint="-0.24994659260841701"/>
      </bottom>
      <diagonal/>
    </border>
    <border>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thin">
        <color theme="0" tint="-0.34998626667073579"/>
      </left>
      <right style="hair">
        <color theme="0" tint="-0.24994659260841701"/>
      </right>
      <top style="hair">
        <color theme="0" tint="-0.24994659260841701"/>
      </top>
      <bottom style="hair">
        <color theme="0" tint="-0.24994659260841701"/>
      </bottom>
      <diagonal/>
    </border>
    <border>
      <left style="hair">
        <color theme="0" tint="-0.24994659260841701"/>
      </left>
      <right style="thin">
        <color theme="0" tint="-0.34998626667073579"/>
      </right>
      <top style="hair">
        <color theme="0" tint="-0.24994659260841701"/>
      </top>
      <bottom style="hair">
        <color theme="0" tint="-0.24994659260841701"/>
      </bottom>
      <diagonal/>
    </border>
    <border>
      <left style="thin">
        <color theme="0" tint="-0.34998626667073579"/>
      </left>
      <right style="thin">
        <color theme="0" tint="-0.34998626667073579"/>
      </right>
      <top style="hair">
        <color theme="0" tint="-0.24994659260841701"/>
      </top>
      <bottom style="hair">
        <color theme="0" tint="-0.24994659260841701"/>
      </bottom>
      <diagonal/>
    </border>
    <border>
      <left style="thin">
        <color theme="0" tint="-0.34998626667073579"/>
      </left>
      <right style="thin">
        <color theme="0" tint="-0.34998626667073579"/>
      </right>
      <top style="hair">
        <color theme="0" tint="-0.24994659260841701"/>
      </top>
      <bottom style="thin">
        <color theme="0" tint="-0.34998626667073579"/>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rgb="FF7F7F7F"/>
      </right>
      <top style="medium">
        <color indexed="64"/>
      </top>
      <bottom style="medium">
        <color indexed="64"/>
      </bottom>
      <diagonal/>
    </border>
    <border>
      <left style="thin">
        <color rgb="FF7F7F7F"/>
      </left>
      <right style="thin">
        <color rgb="FF7F7F7F"/>
      </right>
      <top style="medium">
        <color indexed="64"/>
      </top>
      <bottom style="medium">
        <color indexed="64"/>
      </bottom>
      <diagonal/>
    </border>
    <border>
      <left style="thin">
        <color rgb="FF7F7F7F"/>
      </left>
      <right style="medium">
        <color rgb="FF7F7F7F"/>
      </right>
      <top style="medium">
        <color indexed="64"/>
      </top>
      <bottom style="medium">
        <color indexed="64"/>
      </bottom>
      <diagonal/>
    </border>
    <border>
      <left style="thin">
        <color rgb="FF7F7F7F"/>
      </left>
      <right style="medium">
        <color rgb="FF7F7F7F"/>
      </right>
      <top/>
      <bottom style="thin">
        <color rgb="FF7F7F7F"/>
      </bottom>
      <diagonal/>
    </border>
    <border>
      <left style="thin">
        <color rgb="FF7F7F7F"/>
      </left>
      <right style="medium">
        <color rgb="FF7F7F7F"/>
      </right>
      <top style="thin">
        <color rgb="FF7F7F7F"/>
      </top>
      <bottom style="thin">
        <color rgb="FF7F7F7F"/>
      </bottom>
      <diagonal/>
    </border>
    <border>
      <left style="thin">
        <color rgb="FF7F7F7F"/>
      </left>
      <right style="medium">
        <color rgb="FF7F7F7F"/>
      </right>
      <top style="thin">
        <color rgb="FF7F7F7F"/>
      </top>
      <bottom style="medium">
        <color indexed="64"/>
      </bottom>
      <diagonal/>
    </border>
    <border>
      <left style="thin">
        <color auto="1"/>
      </left>
      <right style="hair">
        <color auto="1"/>
      </right>
      <top style="medium">
        <color indexed="64"/>
      </top>
      <bottom/>
      <diagonal/>
    </border>
    <border>
      <left style="thin">
        <color auto="1"/>
      </left>
      <right style="hair">
        <color auto="1"/>
      </right>
      <top/>
      <bottom/>
      <diagonal/>
    </border>
    <border>
      <left style="thin">
        <color auto="1"/>
      </left>
      <right style="hair">
        <color auto="1"/>
      </right>
      <top/>
      <bottom style="medium">
        <color indexed="64"/>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right/>
      <top style="thick">
        <color auto="1"/>
      </top>
      <bottom/>
      <diagonal/>
    </border>
    <border>
      <left/>
      <right style="thick">
        <color auto="1"/>
      </right>
      <top style="thick">
        <color auto="1"/>
      </top>
      <bottom/>
      <diagonal/>
    </border>
    <border>
      <left style="thick">
        <color auto="1"/>
      </left>
      <right style="thin">
        <color auto="1"/>
      </right>
      <top style="thin">
        <color auto="1"/>
      </top>
      <bottom style="thin">
        <color auto="1"/>
      </bottom>
      <diagonal/>
    </border>
    <border>
      <left/>
      <right style="thick">
        <color auto="1"/>
      </right>
      <top/>
      <bottom/>
      <diagonal/>
    </border>
    <border>
      <left style="medium">
        <color rgb="FF00B050"/>
      </left>
      <right style="medium">
        <color rgb="FF00B050"/>
      </right>
      <top style="medium">
        <color rgb="FF00B050"/>
      </top>
      <bottom style="medium">
        <color rgb="FF00B050"/>
      </bottom>
      <diagonal/>
    </border>
    <border>
      <left style="medium">
        <color rgb="FFFFC000"/>
      </left>
      <right style="medium">
        <color rgb="FFFFC000"/>
      </right>
      <top style="medium">
        <color rgb="FFFFC000"/>
      </top>
      <bottom style="medium">
        <color rgb="FFFFC000"/>
      </bottom>
      <diagonal/>
    </border>
    <border>
      <left/>
      <right/>
      <top/>
      <bottom style="thin">
        <color theme="3"/>
      </bottom>
      <diagonal/>
    </border>
    <border>
      <left style="thick">
        <color auto="1"/>
      </left>
      <right/>
      <top style="thin">
        <color auto="1"/>
      </top>
      <bottom/>
      <diagonal/>
    </border>
    <border>
      <left style="thick">
        <color auto="1"/>
      </left>
      <right/>
      <top/>
      <bottom/>
      <diagonal/>
    </border>
    <border>
      <left style="thick">
        <color auto="1"/>
      </left>
      <right/>
      <top style="thick">
        <color auto="1"/>
      </top>
      <bottom style="medium">
        <color auto="1"/>
      </bottom>
      <diagonal/>
    </border>
    <border>
      <left/>
      <right/>
      <top style="thick">
        <color auto="1"/>
      </top>
      <bottom style="medium">
        <color auto="1"/>
      </bottom>
      <diagonal/>
    </border>
    <border>
      <left/>
      <right style="thick">
        <color auto="1"/>
      </right>
      <top style="thick">
        <color auto="1"/>
      </top>
      <bottom style="medium">
        <color auto="1"/>
      </bottom>
      <diagonal/>
    </border>
    <border>
      <left style="thick">
        <color auto="1"/>
      </left>
      <right/>
      <top style="medium">
        <color auto="1"/>
      </top>
      <bottom style="medium">
        <color auto="1"/>
      </bottom>
      <diagonal/>
    </border>
    <border>
      <left/>
      <right style="thick">
        <color auto="1"/>
      </right>
      <top style="medium">
        <color auto="1"/>
      </top>
      <bottom style="medium">
        <color auto="1"/>
      </bottom>
      <diagonal/>
    </border>
    <border>
      <left style="thick">
        <color auto="1"/>
      </left>
      <right/>
      <top style="medium">
        <color auto="1"/>
      </top>
      <bottom style="thick">
        <color auto="1"/>
      </bottom>
      <diagonal/>
    </border>
    <border>
      <left/>
      <right/>
      <top style="medium">
        <color auto="1"/>
      </top>
      <bottom style="thick">
        <color auto="1"/>
      </bottom>
      <diagonal/>
    </border>
    <border>
      <left/>
      <right style="thick">
        <color auto="1"/>
      </right>
      <top style="medium">
        <color auto="1"/>
      </top>
      <bottom style="thick">
        <color auto="1"/>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right style="hair">
        <color auto="1"/>
      </right>
      <top/>
      <bottom style="hair">
        <color auto="1"/>
      </bottom>
      <diagonal/>
    </border>
    <border>
      <left style="hair">
        <color auto="1"/>
      </left>
      <right/>
      <top/>
      <bottom style="hair">
        <color auto="1"/>
      </bottom>
      <diagonal/>
    </border>
    <border>
      <left style="hair">
        <color auto="1"/>
      </left>
      <right/>
      <top style="hair">
        <color auto="1"/>
      </top>
      <bottom style="hair">
        <color auto="1"/>
      </bottom>
      <diagonal/>
    </border>
    <border>
      <left/>
      <right style="hair">
        <color auto="1"/>
      </right>
      <top style="hair">
        <color auto="1"/>
      </top>
      <bottom/>
      <diagonal/>
    </border>
    <border>
      <left style="hair">
        <color auto="1"/>
      </left>
      <right style="hair">
        <color auto="1"/>
      </right>
      <top style="hair">
        <color auto="1"/>
      </top>
      <bottom/>
      <diagonal/>
    </border>
    <border>
      <left style="hair">
        <color auto="1"/>
      </left>
      <right/>
      <top style="hair">
        <color auto="1"/>
      </top>
      <bottom/>
      <diagonal/>
    </border>
    <border>
      <left/>
      <right style="hair">
        <color rgb="FF7F7F7F"/>
      </right>
      <top/>
      <bottom style="thin">
        <color indexed="64"/>
      </bottom>
      <diagonal/>
    </border>
    <border>
      <left style="hair">
        <color rgb="FF7F7F7F"/>
      </left>
      <right style="hair">
        <color rgb="FF7F7F7F"/>
      </right>
      <top/>
      <bottom style="thin">
        <color indexed="64"/>
      </bottom>
      <diagonal/>
    </border>
    <border>
      <left style="hair">
        <color rgb="FF7F7F7F"/>
      </left>
      <right/>
      <top/>
      <bottom style="thin">
        <color indexed="64"/>
      </bottom>
      <diagonal/>
    </border>
    <border>
      <left style="thin">
        <color indexed="64"/>
      </left>
      <right style="thin">
        <color indexed="64"/>
      </right>
      <top style="thin">
        <color rgb="FF7F7F7F"/>
      </top>
      <bottom style="thin">
        <color indexed="64"/>
      </bottom>
      <diagonal/>
    </border>
    <border>
      <left style="hair">
        <color rgb="FF7F7F7F"/>
      </left>
      <right style="thin">
        <color rgb="FF7F7F7F"/>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hair">
        <color rgb="FF7F7F7F"/>
      </left>
      <right style="hair">
        <color rgb="FF7F7F7F"/>
      </right>
      <top style="thin">
        <color indexed="64"/>
      </top>
      <bottom style="hair">
        <color indexed="64"/>
      </bottom>
      <diagonal/>
    </border>
    <border>
      <left style="hair">
        <color rgb="FF7F7F7F"/>
      </left>
      <right style="thin">
        <color indexed="64"/>
      </right>
      <top style="thin">
        <color indexed="64"/>
      </top>
      <bottom style="hair">
        <color indexed="64"/>
      </bottom>
      <diagonal/>
    </border>
    <border>
      <left style="hair">
        <color rgb="FF7F7F7F"/>
      </left>
      <right style="hair">
        <color rgb="FF7F7F7F"/>
      </right>
      <top style="hair">
        <color indexed="64"/>
      </top>
      <bottom style="hair">
        <color indexed="64"/>
      </bottom>
      <diagonal/>
    </border>
    <border>
      <left style="hair">
        <color rgb="FF7F7F7F"/>
      </left>
      <right style="thin">
        <color indexed="64"/>
      </right>
      <top style="hair">
        <color indexed="64"/>
      </top>
      <bottom style="hair">
        <color indexed="64"/>
      </bottom>
      <diagonal/>
    </border>
    <border>
      <left style="thin">
        <color theme="0" tint="-0.24994659260841701"/>
      </left>
      <right style="thin">
        <color indexed="64"/>
      </right>
      <top/>
      <bottom style="thin">
        <color theme="0" tint="-0.24994659260841701"/>
      </bottom>
      <diagonal/>
    </border>
    <border>
      <left style="thin">
        <color theme="0" tint="-0.24994659260841701"/>
      </left>
      <right style="thin">
        <color indexed="64"/>
      </right>
      <top style="thin">
        <color theme="0" tint="-0.24994659260841701"/>
      </top>
      <bottom style="thin">
        <color theme="0" tint="-0.24994659260841701"/>
      </bottom>
      <diagonal/>
    </border>
    <border>
      <left style="hair">
        <color rgb="FF7F7F7F"/>
      </left>
      <right style="thin">
        <color indexed="64"/>
      </right>
      <top/>
      <bottom style="thin">
        <color indexed="64"/>
      </bottom>
      <diagonal/>
    </border>
    <border>
      <left style="thin">
        <color theme="0" tint="-0.24994659260841701"/>
      </left>
      <right style="medium">
        <color auto="1"/>
      </right>
      <top/>
      <bottom style="medium">
        <color auto="1"/>
      </bottom>
      <diagonal/>
    </border>
    <border>
      <left/>
      <right style="thin">
        <color theme="0" tint="-0.249977111117893"/>
      </right>
      <top/>
      <bottom/>
      <diagonal/>
    </border>
    <border>
      <left style="thin">
        <color theme="0" tint="-0.249977111117893"/>
      </left>
      <right/>
      <top/>
      <bottom/>
      <diagonal/>
    </border>
    <border>
      <left/>
      <right/>
      <top/>
      <bottom style="thin">
        <color theme="0" tint="-0.249977111117893"/>
      </bottom>
      <diagonal/>
    </border>
    <border>
      <left style="thin">
        <color theme="0" tint="-0.249977111117893"/>
      </left>
      <right style="thin">
        <color theme="0" tint="-0.249977111117893"/>
      </right>
      <top/>
      <bottom/>
      <diagonal/>
    </border>
    <border>
      <left style="thin">
        <color theme="0" tint="-0.249977111117893"/>
      </left>
      <right style="medium">
        <color indexed="64"/>
      </right>
      <top style="medium">
        <color indexed="64"/>
      </top>
      <bottom/>
      <diagonal/>
    </border>
    <border>
      <left/>
      <right style="thin">
        <color theme="0" tint="-0.249977111117893"/>
      </right>
      <top/>
      <bottom style="thin">
        <color theme="0" tint="-0.249977111117893"/>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medium">
        <color indexed="64"/>
      </right>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249977111117893"/>
      </left>
      <right style="medium">
        <color indexed="64"/>
      </right>
      <top style="thin">
        <color theme="0" tint="-0.249977111117893"/>
      </top>
      <bottom style="thin">
        <color theme="0" tint="-0.249977111117893"/>
      </bottom>
      <diagonal/>
    </border>
    <border>
      <left/>
      <right/>
      <top style="thin">
        <color theme="0" tint="-0.249977111117893"/>
      </top>
      <bottom/>
      <diagonal/>
    </border>
    <border>
      <left/>
      <right/>
      <top style="thin">
        <color theme="0" tint="-0.249977111117893"/>
      </top>
      <bottom style="medium">
        <color indexed="64"/>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style="thin">
        <color theme="0" tint="-0.249977111117893"/>
      </right>
      <top style="thin">
        <color theme="0" tint="-0.249977111117893"/>
      </top>
      <bottom style="medium">
        <color indexed="64"/>
      </bottom>
      <diagonal/>
    </border>
    <border>
      <left style="thin">
        <color theme="0" tint="-0.249977111117893"/>
      </left>
      <right style="medium">
        <color indexed="64"/>
      </right>
      <top style="thin">
        <color theme="0" tint="-0.249977111117893"/>
      </top>
      <bottom style="medium">
        <color indexed="64"/>
      </bottom>
      <diagonal/>
    </border>
    <border>
      <left/>
      <right style="thin">
        <color theme="0" tint="-0.249977111117893"/>
      </right>
      <top style="thin">
        <color theme="0" tint="-0.249977111117893"/>
      </top>
      <bottom style="medium">
        <color indexed="64"/>
      </bottom>
      <diagonal/>
    </border>
    <border>
      <left style="thin">
        <color theme="1" tint="0.499984740745262"/>
      </left>
      <right/>
      <top style="thin">
        <color theme="1" tint="0.499984740745262"/>
      </top>
      <bottom/>
      <diagonal/>
    </border>
    <border>
      <left/>
      <right/>
      <top style="thin">
        <color theme="1" tint="0.499984740745262"/>
      </top>
      <bottom/>
      <diagonal/>
    </border>
    <border>
      <left/>
      <right style="thin">
        <color theme="1" tint="0.499984740745262"/>
      </right>
      <top style="thin">
        <color theme="1" tint="0.499984740745262"/>
      </top>
      <bottom/>
      <diagonal/>
    </border>
    <border>
      <left style="thin">
        <color theme="1" tint="0.499984740745262"/>
      </left>
      <right/>
      <top/>
      <bottom/>
      <diagonal/>
    </border>
    <border>
      <left/>
      <right style="thin">
        <color theme="1" tint="0.499984740745262"/>
      </right>
      <top/>
      <bottom/>
      <diagonal/>
    </border>
    <border>
      <left style="thin">
        <color theme="1" tint="0.499984740745262"/>
      </left>
      <right/>
      <top/>
      <bottom style="thin">
        <color theme="1" tint="0.499984740745262"/>
      </bottom>
      <diagonal/>
    </border>
    <border>
      <left/>
      <right/>
      <top/>
      <bottom style="thin">
        <color theme="1" tint="0.499984740745262"/>
      </bottom>
      <diagonal/>
    </border>
    <border>
      <left/>
      <right style="thin">
        <color theme="1" tint="0.499984740745262"/>
      </right>
      <top/>
      <bottom style="thin">
        <color theme="1" tint="0.499984740745262"/>
      </bottom>
      <diagonal/>
    </border>
    <border>
      <left/>
      <right style="thin">
        <color theme="0" tint="-0.34998626667073579"/>
      </right>
      <top style="thin">
        <color theme="0" tint="-0.34998626667073579"/>
      </top>
      <bottom style="hair">
        <color theme="0" tint="-0.24994659260841701"/>
      </bottom>
      <diagonal/>
    </border>
    <border>
      <left/>
      <right style="hair">
        <color auto="1"/>
      </right>
      <top/>
      <bottom/>
      <diagonal/>
    </border>
    <border>
      <left/>
      <right/>
      <top style="hair">
        <color auto="1"/>
      </top>
      <bottom style="hair">
        <color auto="1"/>
      </bottom>
      <diagonal/>
    </border>
    <border>
      <left/>
      <right/>
      <top style="hair">
        <color auto="1"/>
      </top>
      <bottom/>
      <diagonal/>
    </border>
    <border>
      <left style="hair">
        <color auto="1"/>
      </left>
      <right/>
      <top/>
      <bottom/>
      <diagonal/>
    </border>
    <border>
      <left style="thin">
        <color auto="1"/>
      </left>
      <right/>
      <top style="thin">
        <color auto="1"/>
      </top>
      <bottom style="hair">
        <color auto="1"/>
      </bottom>
      <diagonal/>
    </border>
    <border>
      <left/>
      <right/>
      <top style="thin">
        <color auto="1"/>
      </top>
      <bottom style="hair">
        <color auto="1"/>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thin">
        <color auto="1"/>
      </left>
      <right/>
      <top style="hair">
        <color auto="1"/>
      </top>
      <bottom/>
      <diagonal/>
    </border>
    <border>
      <left/>
      <right style="thin">
        <color auto="1"/>
      </right>
      <top style="hair">
        <color auto="1"/>
      </top>
      <bottom/>
      <diagonal/>
    </border>
    <border>
      <left style="thick">
        <color rgb="FF0070C0"/>
      </left>
      <right style="thick">
        <color rgb="FF0070C0"/>
      </right>
      <top style="thick">
        <color rgb="FF0070C0"/>
      </top>
      <bottom style="thick">
        <color rgb="FF0070C0"/>
      </bottom>
      <diagonal/>
    </border>
    <border>
      <left style="thin">
        <color auto="1"/>
      </left>
      <right/>
      <top/>
      <bottom style="hair">
        <color auto="1"/>
      </bottom>
      <diagonal/>
    </border>
    <border>
      <left style="hair">
        <color auto="1"/>
      </left>
      <right style="thin">
        <color auto="1"/>
      </right>
      <top style="hair">
        <color auto="1"/>
      </top>
      <bottom/>
      <diagonal/>
    </border>
    <border>
      <left style="hair">
        <color auto="1"/>
      </left>
      <right style="thin">
        <color auto="1"/>
      </right>
      <top/>
      <bottom style="thin">
        <color auto="1"/>
      </bottom>
      <diagonal/>
    </border>
    <border>
      <left style="thin">
        <color rgb="FF7F7F7F"/>
      </left>
      <right style="thin">
        <color indexed="64"/>
      </right>
      <top/>
      <bottom style="thin">
        <color rgb="FF7F7F7F"/>
      </bottom>
      <diagonal/>
    </border>
    <border>
      <left style="thin">
        <color rgb="FF0070C0"/>
      </left>
      <right/>
      <top style="thin">
        <color rgb="FF0070C0"/>
      </top>
      <bottom/>
      <diagonal/>
    </border>
    <border>
      <left/>
      <right/>
      <top style="thin">
        <color rgb="FF0070C0"/>
      </top>
      <bottom/>
      <diagonal/>
    </border>
    <border>
      <left/>
      <right style="thin">
        <color rgb="FF0070C0"/>
      </right>
      <top style="thin">
        <color rgb="FF0070C0"/>
      </top>
      <bottom/>
      <diagonal/>
    </border>
    <border>
      <left style="thin">
        <color rgb="FF0070C0"/>
      </left>
      <right/>
      <top/>
      <bottom/>
      <diagonal/>
    </border>
    <border>
      <left/>
      <right style="thin">
        <color rgb="FF0070C0"/>
      </right>
      <top/>
      <bottom/>
      <diagonal/>
    </border>
    <border>
      <left style="thin">
        <color rgb="FF0070C0"/>
      </left>
      <right/>
      <top/>
      <bottom style="thin">
        <color rgb="FF0070C0"/>
      </bottom>
      <diagonal/>
    </border>
    <border>
      <left/>
      <right/>
      <top/>
      <bottom style="thin">
        <color rgb="FF0070C0"/>
      </bottom>
      <diagonal/>
    </border>
    <border>
      <left/>
      <right style="thin">
        <color rgb="FF0070C0"/>
      </right>
      <top/>
      <bottom style="thin">
        <color rgb="FF0070C0"/>
      </bottom>
      <diagonal/>
    </border>
    <border>
      <left style="thin">
        <color rgb="FF7F7F7F"/>
      </left>
      <right style="thin">
        <color indexed="64"/>
      </right>
      <top style="thin">
        <color rgb="FF7F7F7F"/>
      </top>
      <bottom style="thin">
        <color indexed="64"/>
      </bottom>
      <diagonal/>
    </border>
    <border>
      <left/>
      <right style="thin">
        <color rgb="FF7F7F7F"/>
      </right>
      <top style="thin">
        <color indexed="64"/>
      </top>
      <bottom style="thin">
        <color rgb="FF7F7F7F"/>
      </bottom>
      <diagonal/>
    </border>
  </borders>
  <cellStyleXfs count="57">
    <xf numFmtId="0" fontId="0" fillId="0" borderId="0"/>
    <xf numFmtId="9" fontId="5" fillId="0" borderId="0" applyFont="0" applyFill="0" applyBorder="0" applyAlignment="0" applyProtection="0"/>
    <xf numFmtId="0" fontId="11" fillId="0" borderId="0"/>
    <xf numFmtId="9" fontId="11" fillId="0" borderId="0" applyFont="0" applyFill="0" applyBorder="0" applyAlignment="0" applyProtection="0"/>
    <xf numFmtId="0" fontId="14" fillId="0" borderId="0" applyNumberFormat="0" applyFill="0" applyBorder="0" applyAlignment="0" applyProtection="0"/>
    <xf numFmtId="0" fontId="15" fillId="0" borderId="17" applyNumberFormat="0" applyFill="0" applyAlignment="0" applyProtection="0"/>
    <xf numFmtId="0" fontId="16" fillId="0" borderId="18" applyNumberFormat="0" applyFill="0" applyAlignment="0" applyProtection="0"/>
    <xf numFmtId="0" fontId="17" fillId="0" borderId="19" applyNumberFormat="0" applyFill="0" applyAlignment="0" applyProtection="0"/>
    <xf numFmtId="0" fontId="17" fillId="0" borderId="0" applyNumberFormat="0" applyFill="0" applyBorder="0" applyAlignment="0" applyProtection="0"/>
    <xf numFmtId="0" fontId="18" fillId="4" borderId="0" applyNumberFormat="0" applyBorder="0" applyAlignment="0" applyProtection="0"/>
    <xf numFmtId="0" fontId="19" fillId="5" borderId="0" applyNumberFormat="0" applyBorder="0" applyAlignment="0" applyProtection="0"/>
    <xf numFmtId="0" fontId="20" fillId="6" borderId="0" applyNumberFormat="0" applyBorder="0" applyAlignment="0" applyProtection="0"/>
    <xf numFmtId="0" fontId="21" fillId="7" borderId="20" applyNumberFormat="0" applyAlignment="0" applyProtection="0"/>
    <xf numFmtId="0" fontId="22" fillId="8" borderId="21" applyNumberFormat="0" applyAlignment="0" applyProtection="0"/>
    <xf numFmtId="0" fontId="23" fillId="8" borderId="20" applyNumberFormat="0" applyAlignment="0" applyProtection="0"/>
    <xf numFmtId="0" fontId="24" fillId="0" borderId="22" applyNumberFormat="0" applyFill="0" applyAlignment="0" applyProtection="0"/>
    <xf numFmtId="0" fontId="25" fillId="9" borderId="23" applyNumberFormat="0" applyAlignment="0" applyProtection="0"/>
    <xf numFmtId="0" fontId="6" fillId="0" borderId="0" applyNumberFormat="0" applyFill="0" applyBorder="0" applyAlignment="0" applyProtection="0"/>
    <xf numFmtId="0" fontId="5" fillId="10" borderId="24" applyNumberFormat="0" applyFont="0" applyAlignment="0" applyProtection="0"/>
    <xf numFmtId="0" fontId="26" fillId="0" borderId="0" applyNumberFormat="0" applyFill="0" applyBorder="0" applyAlignment="0" applyProtection="0"/>
    <xf numFmtId="0" fontId="7" fillId="0" borderId="25" applyNumberFormat="0" applyFill="0" applyAlignment="0" applyProtection="0"/>
    <xf numFmtId="0" fontId="27"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27" fillId="14" borderId="0" applyNumberFormat="0" applyBorder="0" applyAlignment="0" applyProtection="0"/>
    <xf numFmtId="0" fontId="27" fillId="15" borderId="0" applyNumberFormat="0" applyBorder="0" applyAlignment="0" applyProtection="0"/>
    <xf numFmtId="0" fontId="5" fillId="16" borderId="0" applyNumberFormat="0" applyBorder="0" applyAlignment="0" applyProtection="0"/>
    <xf numFmtId="0" fontId="5" fillId="17" borderId="0" applyNumberFormat="0" applyBorder="0" applyAlignment="0" applyProtection="0"/>
    <xf numFmtId="0" fontId="27" fillId="18" borderId="0" applyNumberFormat="0" applyBorder="0" applyAlignment="0" applyProtection="0"/>
    <xf numFmtId="0" fontId="27" fillId="19" borderId="0" applyNumberFormat="0" applyBorder="0" applyAlignment="0" applyProtection="0"/>
    <xf numFmtId="0" fontId="5" fillId="20" borderId="0" applyNumberFormat="0" applyBorder="0" applyAlignment="0" applyProtection="0"/>
    <xf numFmtId="0" fontId="5" fillId="21" borderId="0" applyNumberFormat="0" applyBorder="0" applyAlignment="0" applyProtection="0"/>
    <xf numFmtId="0" fontId="27" fillId="22" borderId="0" applyNumberFormat="0" applyBorder="0" applyAlignment="0" applyProtection="0"/>
    <xf numFmtId="0" fontId="27" fillId="23" borderId="0" applyNumberFormat="0" applyBorder="0" applyAlignment="0" applyProtection="0"/>
    <xf numFmtId="0" fontId="5" fillId="24" borderId="0" applyNumberFormat="0" applyBorder="0" applyAlignment="0" applyProtection="0"/>
    <xf numFmtId="0" fontId="5" fillId="25" borderId="0" applyNumberFormat="0" applyBorder="0" applyAlignment="0" applyProtection="0"/>
    <xf numFmtId="0" fontId="27" fillId="26" borderId="0" applyNumberFormat="0" applyBorder="0" applyAlignment="0" applyProtection="0"/>
    <xf numFmtId="0" fontId="27" fillId="27" borderId="0" applyNumberFormat="0" applyBorder="0" applyAlignment="0" applyProtection="0"/>
    <xf numFmtId="0" fontId="5" fillId="28" borderId="0" applyNumberFormat="0" applyBorder="0" applyAlignment="0" applyProtection="0"/>
    <xf numFmtId="0" fontId="5" fillId="29" borderId="0" applyNumberFormat="0" applyBorder="0" applyAlignment="0" applyProtection="0"/>
    <xf numFmtId="0" fontId="27" fillId="30" borderId="0" applyNumberFormat="0" applyBorder="0" applyAlignment="0" applyProtection="0"/>
    <xf numFmtId="0" fontId="27" fillId="31" borderId="0" applyNumberFormat="0" applyBorder="0" applyAlignment="0" applyProtection="0"/>
    <xf numFmtId="0" fontId="5" fillId="32" borderId="0" applyNumberFormat="0" applyBorder="0" applyAlignment="0" applyProtection="0"/>
    <xf numFmtId="0" fontId="5" fillId="33" borderId="0" applyNumberFormat="0" applyBorder="0" applyAlignment="0" applyProtection="0"/>
    <xf numFmtId="0" fontId="27" fillId="34" borderId="0" applyNumberFormat="0" applyBorder="0" applyAlignment="0" applyProtection="0"/>
    <xf numFmtId="0" fontId="28" fillId="0" borderId="0"/>
    <xf numFmtId="0" fontId="29" fillId="0" borderId="0"/>
    <xf numFmtId="9" fontId="29" fillId="0" borderId="0" applyFont="0" applyFill="0" applyBorder="0" applyAlignment="0" applyProtection="0"/>
    <xf numFmtId="164" fontId="5" fillId="0" borderId="0" applyFont="0" applyFill="0" applyBorder="0" applyAlignment="0" applyProtection="0"/>
    <xf numFmtId="0" fontId="31" fillId="0" borderId="0" applyNumberFormat="0" applyFill="0" applyBorder="0" applyAlignment="0" applyProtection="0">
      <alignment vertical="top"/>
      <protection locked="0"/>
    </xf>
    <xf numFmtId="0" fontId="4" fillId="0" borderId="0"/>
    <xf numFmtId="9" fontId="4" fillId="0" borderId="0" applyFont="0" applyFill="0" applyBorder="0" applyAlignment="0" applyProtection="0"/>
    <xf numFmtId="0" fontId="33" fillId="0" borderId="0" applyNumberFormat="0" applyFill="0" applyBorder="0" applyAlignment="0" applyProtection="0"/>
    <xf numFmtId="0" fontId="34" fillId="0" borderId="0"/>
    <xf numFmtId="0" fontId="37" fillId="8" borderId="20" applyNumberFormat="0" applyAlignment="0" applyProtection="0"/>
    <xf numFmtId="0" fontId="96" fillId="7" borderId="20" applyNumberFormat="0" applyAlignment="0" applyProtection="0"/>
    <xf numFmtId="0" fontId="11" fillId="0" borderId="0" applyProtection="0"/>
  </cellStyleXfs>
  <cellXfs count="1379">
    <xf numFmtId="0" fontId="0" fillId="0" borderId="0" xfId="0"/>
    <xf numFmtId="0" fontId="13" fillId="0" borderId="0" xfId="0" applyFont="1"/>
    <xf numFmtId="0" fontId="8" fillId="0" borderId="62" xfId="0" applyFont="1" applyBorder="1" applyAlignment="1">
      <alignment horizontal="left" vertical="top"/>
    </xf>
    <xf numFmtId="0" fontId="8" fillId="0" borderId="56" xfId="0" applyFont="1" applyBorder="1" applyAlignment="1">
      <alignment horizontal="left" vertical="top"/>
    </xf>
    <xf numFmtId="0" fontId="8" fillId="0" borderId="64" xfId="0" applyFont="1" applyBorder="1" applyAlignment="1">
      <alignment horizontal="left" vertical="top"/>
    </xf>
    <xf numFmtId="0" fontId="0" fillId="0" borderId="57" xfId="0" applyBorder="1" applyAlignment="1">
      <alignment horizontal="left" vertical="top" wrapText="1"/>
    </xf>
    <xf numFmtId="0" fontId="8" fillId="0" borderId="63" xfId="0" applyFont="1" applyBorder="1" applyAlignment="1">
      <alignment horizontal="left" vertical="top"/>
    </xf>
    <xf numFmtId="0" fontId="8" fillId="0" borderId="57" xfId="0" applyFont="1" applyBorder="1" applyAlignment="1">
      <alignment horizontal="left" vertical="top"/>
    </xf>
    <xf numFmtId="0" fontId="8" fillId="0" borderId="65" xfId="0" applyFont="1" applyBorder="1" applyAlignment="1">
      <alignment horizontal="left" vertical="top"/>
    </xf>
    <xf numFmtId="0" fontId="0" fillId="0" borderId="0" xfId="0" applyAlignment="1">
      <alignment horizontal="left" vertical="top"/>
    </xf>
    <xf numFmtId="0" fontId="0" fillId="0" borderId="0" xfId="0" applyAlignment="1">
      <alignment horizontal="left" vertical="top" wrapText="1"/>
    </xf>
    <xf numFmtId="0" fontId="8" fillId="0" borderId="56" xfId="0" applyFont="1" applyBorder="1" applyAlignment="1">
      <alignment horizontal="center" vertical="top"/>
    </xf>
    <xf numFmtId="0" fontId="0" fillId="0" borderId="56" xfId="0" applyBorder="1" applyAlignment="1">
      <alignment horizontal="center" vertical="top"/>
    </xf>
    <xf numFmtId="0" fontId="0" fillId="0" borderId="57" xfId="0" applyBorder="1" applyAlignment="1">
      <alignment horizontal="center" vertical="top"/>
    </xf>
    <xf numFmtId="0" fontId="0" fillId="0" borderId="56" xfId="0" applyBorder="1" applyAlignment="1">
      <alignment horizontal="left" vertical="top" wrapText="1"/>
    </xf>
    <xf numFmtId="0" fontId="8" fillId="0" borderId="92" xfId="0" applyFont="1" applyBorder="1" applyAlignment="1">
      <alignment horizontal="center" vertical="top"/>
    </xf>
    <xf numFmtId="0" fontId="30" fillId="39" borderId="57" xfId="0" applyFont="1" applyFill="1" applyBorder="1" applyAlignment="1">
      <alignment horizontal="left" vertical="top"/>
    </xf>
    <xf numFmtId="0" fontId="21" fillId="7" borderId="20" xfId="12" applyAlignment="1">
      <alignment horizontal="center" vertical="top"/>
    </xf>
    <xf numFmtId="0" fontId="35" fillId="7" borderId="20" xfId="12" applyFont="1" applyAlignment="1">
      <alignment horizontal="center" vertical="top"/>
    </xf>
    <xf numFmtId="9" fontId="35" fillId="7" borderId="20" xfId="12" applyNumberFormat="1" applyFont="1" applyAlignment="1">
      <alignment horizontal="center" vertical="top"/>
    </xf>
    <xf numFmtId="0" fontId="35" fillId="7" borderId="96" xfId="12" applyFont="1" applyBorder="1" applyAlignment="1">
      <alignment horizontal="center" vertical="top"/>
    </xf>
    <xf numFmtId="0" fontId="30" fillId="39" borderId="97" xfId="0" applyFont="1" applyFill="1" applyBorder="1" applyAlignment="1">
      <alignment horizontal="left" vertical="top"/>
    </xf>
    <xf numFmtId="0" fontId="21" fillId="7" borderId="98" xfId="12" applyBorder="1" applyAlignment="1">
      <alignment horizontal="center" vertical="top"/>
    </xf>
    <xf numFmtId="0" fontId="8" fillId="0" borderId="99" xfId="0" applyFont="1" applyBorder="1" applyAlignment="1">
      <alignment horizontal="left" vertical="top"/>
    </xf>
    <xf numFmtId="0" fontId="8" fillId="0" borderId="97" xfId="0" applyFont="1" applyBorder="1" applyAlignment="1">
      <alignment horizontal="left" vertical="top"/>
    </xf>
    <xf numFmtId="0" fontId="30" fillId="39" borderId="65" xfId="0" applyFont="1" applyFill="1" applyBorder="1" applyAlignment="1">
      <alignment horizontal="left" vertical="top"/>
    </xf>
    <xf numFmtId="0" fontId="8" fillId="0" borderId="0" xfId="0" applyFont="1" applyAlignment="1">
      <alignment horizontal="left" vertical="center"/>
    </xf>
    <xf numFmtId="0" fontId="0" fillId="0" borderId="0" xfId="0" applyAlignment="1">
      <alignment horizontal="left" vertical="center"/>
    </xf>
    <xf numFmtId="0" fontId="7" fillId="37" borderId="0" xfId="0" applyFont="1" applyFill="1" applyAlignment="1">
      <alignment horizontal="left" vertical="top"/>
    </xf>
    <xf numFmtId="49" fontId="0" fillId="0" borderId="0" xfId="0" applyNumberFormat="1"/>
    <xf numFmtId="0" fontId="43" fillId="0" borderId="0" xfId="0" applyFont="1" applyAlignment="1">
      <alignment horizontal="center" vertical="center" wrapText="1"/>
    </xf>
    <xf numFmtId="0" fontId="44" fillId="7" borderId="20" xfId="12" applyFont="1" applyAlignment="1">
      <alignment horizontal="center"/>
    </xf>
    <xf numFmtId="0" fontId="47" fillId="0" borderId="0" xfId="0" applyFont="1"/>
    <xf numFmtId="0" fontId="49" fillId="0" borderId="0" xfId="0" applyFont="1"/>
    <xf numFmtId="0" fontId="3" fillId="0" borderId="0" xfId="0" applyFont="1"/>
    <xf numFmtId="49" fontId="3" fillId="0" borderId="0" xfId="0" applyNumberFormat="1" applyFont="1"/>
    <xf numFmtId="0" fontId="50" fillId="0" borderId="0" xfId="0" applyFont="1"/>
    <xf numFmtId="0" fontId="51" fillId="7" borderId="20" xfId="12" applyFont="1" applyAlignment="1">
      <alignment horizontal="center"/>
    </xf>
    <xf numFmtId="0" fontId="51" fillId="7" borderId="20" xfId="12" applyFont="1"/>
    <xf numFmtId="0" fontId="55" fillId="47" borderId="0" xfId="2" applyFont="1" applyFill="1"/>
    <xf numFmtId="0" fontId="55" fillId="48" borderId="10" xfId="2" applyFont="1" applyFill="1" applyBorder="1"/>
    <xf numFmtId="0" fontId="55" fillId="48" borderId="2" xfId="2" applyFont="1" applyFill="1" applyBorder="1"/>
    <xf numFmtId="0" fontId="55" fillId="48" borderId="9" xfId="2" applyFont="1" applyFill="1" applyBorder="1"/>
    <xf numFmtId="0" fontId="55" fillId="48" borderId="8" xfId="2" applyFont="1" applyFill="1" applyBorder="1"/>
    <xf numFmtId="0" fontId="55" fillId="48" borderId="7" xfId="2" applyFont="1" applyFill="1" applyBorder="1"/>
    <xf numFmtId="0" fontId="55" fillId="47" borderId="10" xfId="2" applyFont="1" applyFill="1" applyBorder="1" applyAlignment="1">
      <alignment horizontal="right"/>
    </xf>
    <xf numFmtId="0" fontId="55" fillId="47" borderId="9" xfId="2" applyFont="1" applyFill="1" applyBorder="1" applyAlignment="1">
      <alignment horizontal="right"/>
    </xf>
    <xf numFmtId="0" fontId="56" fillId="7" borderId="20" xfId="12" applyFont="1" applyAlignment="1">
      <alignment horizontal="center"/>
    </xf>
    <xf numFmtId="0" fontId="55" fillId="47" borderId="8" xfId="2" applyFont="1" applyFill="1" applyBorder="1"/>
    <xf numFmtId="0" fontId="55" fillId="48" borderId="6" xfId="2" applyFont="1" applyFill="1" applyBorder="1"/>
    <xf numFmtId="0" fontId="55" fillId="47" borderId="7" xfId="2" applyFont="1" applyFill="1" applyBorder="1" applyAlignment="1">
      <alignment horizontal="right"/>
    </xf>
    <xf numFmtId="0" fontId="55" fillId="47" borderId="0" xfId="2" applyFont="1" applyFill="1" applyAlignment="1">
      <alignment horizontal="right"/>
    </xf>
    <xf numFmtId="2" fontId="56" fillId="7" borderId="20" xfId="48" applyNumberFormat="1" applyFont="1" applyFill="1" applyBorder="1" applyAlignment="1">
      <alignment horizontal="center"/>
    </xf>
    <xf numFmtId="0" fontId="55" fillId="47" borderId="6" xfId="2" applyFont="1" applyFill="1" applyBorder="1"/>
    <xf numFmtId="167" fontId="57" fillId="8" borderId="20" xfId="14" applyNumberFormat="1" applyFont="1" applyAlignment="1">
      <alignment horizontal="center"/>
    </xf>
    <xf numFmtId="0" fontId="55" fillId="47" borderId="84" xfId="2" applyFont="1" applyFill="1" applyBorder="1" applyAlignment="1">
      <alignment horizontal="right"/>
    </xf>
    <xf numFmtId="0" fontId="55" fillId="47" borderId="32" xfId="2" applyFont="1" applyFill="1" applyBorder="1" applyAlignment="1">
      <alignment horizontal="right"/>
    </xf>
    <xf numFmtId="10" fontId="57" fillId="8" borderId="96" xfId="14" applyNumberFormat="1" applyFont="1" applyBorder="1" applyAlignment="1">
      <alignment horizontal="center"/>
    </xf>
    <xf numFmtId="0" fontId="55" fillId="47" borderId="177" xfId="2" applyFont="1" applyFill="1" applyBorder="1"/>
    <xf numFmtId="0" fontId="58" fillId="47" borderId="178" xfId="2" applyFont="1" applyFill="1" applyBorder="1"/>
    <xf numFmtId="0" fontId="58" fillId="47" borderId="179" xfId="2" applyFont="1" applyFill="1" applyBorder="1"/>
    <xf numFmtId="10" fontId="57" fillId="8" borderId="93" xfId="14" applyNumberFormat="1" applyFont="1" applyBorder="1" applyAlignment="1">
      <alignment horizontal="center"/>
    </xf>
    <xf numFmtId="167" fontId="57" fillId="8" borderId="93" xfId="14" applyNumberFormat="1" applyFont="1" applyBorder="1" applyAlignment="1">
      <alignment horizontal="center"/>
    </xf>
    <xf numFmtId="0" fontId="55" fillId="48" borderId="5" xfId="2" applyFont="1" applyFill="1" applyBorder="1"/>
    <xf numFmtId="0" fontId="55" fillId="48" borderId="4" xfId="2" applyFont="1" applyFill="1" applyBorder="1"/>
    <xf numFmtId="0" fontId="55" fillId="48" borderId="3" xfId="2" applyFont="1" applyFill="1" applyBorder="1"/>
    <xf numFmtId="0" fontId="55" fillId="47" borderId="0" xfId="2" applyFont="1" applyFill="1" applyAlignment="1">
      <alignment horizontal="center"/>
    </xf>
    <xf numFmtId="0" fontId="59" fillId="47" borderId="27" xfId="2" applyFont="1" applyFill="1" applyBorder="1"/>
    <xf numFmtId="0" fontId="55" fillId="47" borderId="28" xfId="2" applyFont="1" applyFill="1" applyBorder="1"/>
    <xf numFmtId="0" fontId="55" fillId="47" borderId="29" xfId="2" applyFont="1" applyFill="1" applyBorder="1"/>
    <xf numFmtId="0" fontId="55" fillId="47" borderId="30" xfId="2" applyFont="1" applyFill="1" applyBorder="1"/>
    <xf numFmtId="0" fontId="55" fillId="47" borderId="15" xfId="2" applyFont="1" applyFill="1" applyBorder="1"/>
    <xf numFmtId="0" fontId="55" fillId="47" borderId="30" xfId="2" applyFont="1" applyFill="1" applyBorder="1" applyAlignment="1">
      <alignment horizontal="right"/>
    </xf>
    <xf numFmtId="0" fontId="56" fillId="7" borderId="20" xfId="12" applyFont="1"/>
    <xf numFmtId="0" fontId="58" fillId="47" borderId="30" xfId="2" applyFont="1" applyFill="1" applyBorder="1" applyAlignment="1">
      <alignment horizontal="right"/>
    </xf>
    <xf numFmtId="164" fontId="57" fillId="8" borderId="20" xfId="48" applyFont="1" applyFill="1" applyBorder="1"/>
    <xf numFmtId="0" fontId="58" fillId="47" borderId="0" xfId="2" applyFont="1" applyFill="1"/>
    <xf numFmtId="0" fontId="57" fillId="8" borderId="0" xfId="14" applyFont="1" applyBorder="1"/>
    <xf numFmtId="0" fontId="57" fillId="8" borderId="0" xfId="14" applyFont="1" applyBorder="1" applyAlignment="1">
      <alignment horizontal="center"/>
    </xf>
    <xf numFmtId="2" fontId="57" fillId="8" borderId="0" xfId="14" applyNumberFormat="1" applyFont="1" applyBorder="1" applyAlignment="1">
      <alignment horizontal="left"/>
    </xf>
    <xf numFmtId="0" fontId="55" fillId="47" borderId="31" xfId="2" applyFont="1" applyFill="1" applyBorder="1"/>
    <xf numFmtId="0" fontId="55" fillId="47" borderId="32" xfId="2" applyFont="1" applyFill="1" applyBorder="1"/>
    <xf numFmtId="0" fontId="55" fillId="47" borderId="16" xfId="2" applyFont="1" applyFill="1" applyBorder="1"/>
    <xf numFmtId="0" fontId="55" fillId="47" borderId="0" xfId="2" applyFont="1" applyFill="1" applyAlignment="1">
      <alignment wrapText="1"/>
    </xf>
    <xf numFmtId="0" fontId="57" fillId="8" borderId="20" xfId="14" applyFont="1"/>
    <xf numFmtId="9" fontId="57" fillId="8" borderId="0" xfId="14" applyNumberFormat="1" applyFont="1" applyBorder="1"/>
    <xf numFmtId="167" fontId="57" fillId="8" borderId="20" xfId="14" applyNumberFormat="1" applyFont="1"/>
    <xf numFmtId="167" fontId="57" fillId="8" borderId="0" xfId="14" applyNumberFormat="1" applyFont="1" applyBorder="1" applyAlignment="1">
      <alignment horizontal="left"/>
    </xf>
    <xf numFmtId="0" fontId="55" fillId="47" borderId="0" xfId="2" applyFont="1" applyFill="1" applyAlignment="1">
      <alignment horizontal="center" wrapText="1"/>
    </xf>
    <xf numFmtId="9" fontId="55" fillId="47" borderId="28" xfId="2" applyNumberFormat="1" applyFont="1" applyFill="1" applyBorder="1"/>
    <xf numFmtId="0" fontId="36" fillId="0" borderId="0" xfId="0" applyFont="1" applyAlignment="1">
      <alignment horizontal="center"/>
    </xf>
    <xf numFmtId="0" fontId="36" fillId="0" borderId="0" xfId="0" applyFont="1"/>
    <xf numFmtId="0" fontId="36" fillId="0" borderId="0" xfId="0" applyFont="1" applyAlignment="1">
      <alignment horizontal="center" wrapText="1"/>
    </xf>
    <xf numFmtId="0" fontId="63" fillId="0" borderId="0" xfId="0" applyFont="1" applyAlignment="1">
      <alignment horizontal="center" vertical="center" wrapText="1"/>
    </xf>
    <xf numFmtId="0" fontId="36" fillId="0" borderId="0" xfId="0" applyFont="1" applyAlignment="1">
      <alignment horizontal="right" wrapText="1"/>
    </xf>
    <xf numFmtId="0" fontId="62" fillId="0" borderId="0" xfId="0" applyFont="1" applyAlignment="1">
      <alignment horizontal="left" vertical="center" wrapText="1"/>
    </xf>
    <xf numFmtId="0" fontId="62" fillId="0" borderId="0" xfId="0" applyFont="1"/>
    <xf numFmtId="0" fontId="62" fillId="0" borderId="0" xfId="0" applyFont="1" applyAlignment="1">
      <alignment horizontal="right"/>
    </xf>
    <xf numFmtId="0" fontId="52" fillId="8" borderId="20" xfId="14" applyFont="1" applyAlignment="1">
      <alignment horizontal="center"/>
    </xf>
    <xf numFmtId="0" fontId="36" fillId="0" borderId="0" xfId="0" applyFont="1" applyAlignment="1">
      <alignment horizontal="right"/>
    </xf>
    <xf numFmtId="2" fontId="52" fillId="8" borderId="20" xfId="14" applyNumberFormat="1" applyFont="1" applyAlignment="1">
      <alignment horizontal="center"/>
    </xf>
    <xf numFmtId="0" fontId="65" fillId="0" borderId="0" xfId="0" applyFont="1" applyAlignment="1">
      <alignment horizontal="left" vertical="top"/>
    </xf>
    <xf numFmtId="0" fontId="43" fillId="35" borderId="0" xfId="0" applyFont="1" applyFill="1"/>
    <xf numFmtId="0" fontId="43" fillId="0" borderId="0" xfId="0" applyFont="1"/>
    <xf numFmtId="0" fontId="43" fillId="3" borderId="0" xfId="0" applyFont="1" applyFill="1" applyAlignment="1">
      <alignment horizontal="left" vertical="top"/>
    </xf>
    <xf numFmtId="0" fontId="43" fillId="35" borderId="0" xfId="0" applyFont="1" applyFill="1" applyAlignment="1">
      <alignment horizontal="left" vertical="top"/>
    </xf>
    <xf numFmtId="0" fontId="3" fillId="35" borderId="0" xfId="0" applyFont="1" applyFill="1"/>
    <xf numFmtId="0" fontId="43" fillId="3" borderId="0" xfId="0" applyFont="1" applyFill="1"/>
    <xf numFmtId="0" fontId="43" fillId="3" borderId="100" xfId="0" applyFont="1" applyFill="1" applyBorder="1" applyAlignment="1">
      <alignment horizontal="center" vertical="center"/>
    </xf>
    <xf numFmtId="0" fontId="43" fillId="3" borderId="101" xfId="0" applyFont="1" applyFill="1" applyBorder="1" applyAlignment="1">
      <alignment horizontal="center" vertical="center"/>
    </xf>
    <xf numFmtId="0" fontId="43" fillId="3" borderId="102" xfId="0" applyFont="1" applyFill="1" applyBorder="1" applyAlignment="1">
      <alignment horizontal="center" vertical="center"/>
    </xf>
    <xf numFmtId="0" fontId="3" fillId="0" borderId="0" xfId="0" applyFont="1" applyAlignment="1">
      <alignment horizontal="center" vertical="center"/>
    </xf>
    <xf numFmtId="0" fontId="66" fillId="35" borderId="0" xfId="0" applyFont="1" applyFill="1"/>
    <xf numFmtId="0" fontId="64" fillId="35" borderId="0" xfId="0" applyFont="1" applyFill="1"/>
    <xf numFmtId="0" fontId="64" fillId="35" borderId="0" xfId="0" applyFont="1" applyFill="1" applyAlignment="1">
      <alignment vertical="top"/>
    </xf>
    <xf numFmtId="0" fontId="66" fillId="35" borderId="0" xfId="0" applyFont="1" applyFill="1" applyAlignment="1">
      <alignment vertical="top"/>
    </xf>
    <xf numFmtId="0" fontId="64" fillId="35" borderId="0" xfId="0" applyFont="1" applyFill="1" applyAlignment="1">
      <alignment vertical="center" wrapText="1"/>
    </xf>
    <xf numFmtId="0" fontId="66" fillId="35" borderId="0" xfId="0" applyFont="1" applyFill="1" applyAlignment="1">
      <alignment horizontal="center" vertical="center" wrapText="1"/>
    </xf>
    <xf numFmtId="0" fontId="66" fillId="35" borderId="0" xfId="0" applyFont="1" applyFill="1" applyAlignment="1">
      <alignment vertical="center" wrapText="1"/>
    </xf>
    <xf numFmtId="0" fontId="66" fillId="35" borderId="0" xfId="0" applyFont="1" applyFill="1" applyAlignment="1">
      <alignment horizontal="center" vertical="top" wrapText="1"/>
    </xf>
    <xf numFmtId="0" fontId="66" fillId="35" borderId="0" xfId="0" applyFont="1" applyFill="1" applyAlignment="1">
      <alignment vertical="top" wrapText="1"/>
    </xf>
    <xf numFmtId="0" fontId="66" fillId="0" borderId="0" xfId="0" applyFont="1" applyAlignment="1">
      <alignment vertical="top"/>
    </xf>
    <xf numFmtId="0" fontId="64" fillId="35" borderId="0" xfId="0" applyFont="1" applyFill="1" applyAlignment="1">
      <alignment horizontal="center" vertical="center" wrapText="1"/>
    </xf>
    <xf numFmtId="0" fontId="64" fillId="35" borderId="0" xfId="0" applyFont="1" applyFill="1" applyAlignment="1">
      <alignment horizontal="center" vertical="top" wrapText="1"/>
    </xf>
    <xf numFmtId="0" fontId="64" fillId="35" borderId="113" xfId="0" applyFont="1" applyFill="1" applyBorder="1" applyAlignment="1">
      <alignment horizontal="center" vertical="top" wrapText="1"/>
    </xf>
    <xf numFmtId="0" fontId="66" fillId="0" borderId="0" xfId="0" applyFont="1" applyAlignment="1">
      <alignment horizontal="center" vertical="top" wrapText="1"/>
    </xf>
    <xf numFmtId="0" fontId="66" fillId="0" borderId="0" xfId="0" applyFont="1" applyAlignment="1">
      <alignment horizontal="center" vertical="center" wrapText="1"/>
    </xf>
    <xf numFmtId="0" fontId="64" fillId="35" borderId="0" xfId="0" applyFont="1" applyFill="1" applyAlignment="1">
      <alignment vertical="center"/>
    </xf>
    <xf numFmtId="0" fontId="66" fillId="35" borderId="0" xfId="0" applyFont="1" applyFill="1" applyAlignment="1">
      <alignment vertical="center"/>
    </xf>
    <xf numFmtId="0" fontId="66" fillId="35" borderId="114" xfId="0" applyFont="1" applyFill="1" applyBorder="1" applyAlignment="1">
      <alignment vertical="center" wrapText="1"/>
    </xf>
    <xf numFmtId="0" fontId="66" fillId="35" borderId="115" xfId="0" applyFont="1" applyFill="1" applyBorder="1" applyAlignment="1">
      <alignment horizontal="center" vertical="center" wrapText="1"/>
    </xf>
    <xf numFmtId="0" fontId="66" fillId="35" borderId="116" xfId="0" applyFont="1" applyFill="1" applyBorder="1" applyAlignment="1">
      <alignment horizontal="center" vertical="center" wrapText="1"/>
    </xf>
    <xf numFmtId="0" fontId="66" fillId="0" borderId="0" xfId="0" applyFont="1" applyAlignment="1">
      <alignment vertical="center"/>
    </xf>
    <xf numFmtId="0" fontId="64" fillId="35" borderId="117" xfId="0" applyFont="1" applyFill="1" applyBorder="1" applyAlignment="1">
      <alignment vertical="center" wrapText="1"/>
    </xf>
    <xf numFmtId="0" fontId="66" fillId="35" borderId="118" xfId="0" applyFont="1" applyFill="1" applyBorder="1" applyAlignment="1">
      <alignment horizontal="center" vertical="center" wrapText="1"/>
    </xf>
    <xf numFmtId="0" fontId="66" fillId="35" borderId="116" xfId="0" applyFont="1" applyFill="1" applyBorder="1" applyAlignment="1">
      <alignment vertical="center" wrapText="1"/>
    </xf>
    <xf numFmtId="9" fontId="66" fillId="35" borderId="0" xfId="1" applyFont="1" applyFill="1" applyBorder="1" applyAlignment="1">
      <alignment horizontal="center" vertical="center" wrapText="1"/>
    </xf>
    <xf numFmtId="9" fontId="66" fillId="35" borderId="0" xfId="0" applyNumberFormat="1" applyFont="1" applyFill="1" applyAlignment="1">
      <alignment horizontal="center" vertical="center" wrapText="1"/>
    </xf>
    <xf numFmtId="9" fontId="66" fillId="35" borderId="0" xfId="1" applyFont="1" applyFill="1" applyAlignment="1">
      <alignment horizontal="center" vertical="center" wrapText="1"/>
    </xf>
    <xf numFmtId="0" fontId="66" fillId="35" borderId="120" xfId="0" applyFont="1" applyFill="1" applyBorder="1" applyAlignment="1">
      <alignment vertical="center" wrapText="1"/>
    </xf>
    <xf numFmtId="0" fontId="66" fillId="35" borderId="121" xfId="0" applyFont="1" applyFill="1" applyBorder="1" applyAlignment="1">
      <alignment horizontal="center" vertical="center" wrapText="1"/>
    </xf>
    <xf numFmtId="0" fontId="64" fillId="49" borderId="113" xfId="0" applyFont="1" applyFill="1" applyBorder="1" applyAlignment="1">
      <alignment horizontal="center" vertical="top" wrapText="1"/>
    </xf>
    <xf numFmtId="0" fontId="64" fillId="50" borderId="113" xfId="0" applyFont="1" applyFill="1" applyBorder="1" applyAlignment="1">
      <alignment horizontal="center" vertical="top" wrapText="1"/>
    </xf>
    <xf numFmtId="0" fontId="64" fillId="3" borderId="0" xfId="0" applyFont="1" applyFill="1" applyAlignment="1">
      <alignment horizontal="center" vertical="top" wrapText="1"/>
    </xf>
    <xf numFmtId="0" fontId="64" fillId="3" borderId="113" xfId="0" applyFont="1" applyFill="1" applyBorder="1" applyAlignment="1">
      <alignment horizontal="center" vertical="top" wrapText="1"/>
    </xf>
    <xf numFmtId="0" fontId="66" fillId="35" borderId="0" xfId="0" applyFont="1" applyFill="1" applyAlignment="1">
      <alignment wrapText="1"/>
    </xf>
    <xf numFmtId="0" fontId="3" fillId="0" borderId="0" xfId="0" applyFont="1" applyAlignment="1">
      <alignment horizontal="left" vertical="top"/>
    </xf>
    <xf numFmtId="0" fontId="3" fillId="0" borderId="0" xfId="0" applyFont="1" applyAlignment="1">
      <alignment horizontal="left" vertical="top" wrapText="1"/>
    </xf>
    <xf numFmtId="0" fontId="43" fillId="37" borderId="0" xfId="0" applyFont="1" applyFill="1" applyAlignment="1">
      <alignment horizontal="left" vertical="top" wrapText="1"/>
    </xf>
    <xf numFmtId="0" fontId="43" fillId="37" borderId="0" xfId="0" applyFont="1" applyFill="1" applyAlignment="1">
      <alignment horizontal="left" vertical="top"/>
    </xf>
    <xf numFmtId="0" fontId="0" fillId="0" borderId="0" xfId="0" applyAlignment="1">
      <alignment horizontal="center" vertical="top"/>
    </xf>
    <xf numFmtId="0" fontId="48" fillId="0" borderId="123" xfId="0" applyFont="1" applyBorder="1" applyAlignment="1">
      <alignment horizontal="center"/>
    </xf>
    <xf numFmtId="0" fontId="69" fillId="0" borderId="0" xfId="0" applyFont="1" applyAlignment="1">
      <alignment horizontal="center"/>
    </xf>
    <xf numFmtId="172" fontId="47" fillId="0" borderId="129" xfId="0" applyNumberFormat="1" applyFont="1" applyBorder="1" applyAlignment="1">
      <alignment horizontal="center"/>
    </xf>
    <xf numFmtId="172" fontId="47" fillId="0" borderId="131" xfId="0" applyNumberFormat="1" applyFont="1" applyBorder="1" applyAlignment="1">
      <alignment horizontal="center"/>
    </xf>
    <xf numFmtId="172" fontId="47" fillId="0" borderId="132" xfId="0" applyNumberFormat="1" applyFont="1" applyBorder="1" applyAlignment="1">
      <alignment horizontal="center"/>
    </xf>
    <xf numFmtId="172" fontId="47" fillId="0" borderId="133" xfId="0" applyNumberFormat="1" applyFont="1" applyBorder="1" applyAlignment="1">
      <alignment horizontal="center"/>
    </xf>
    <xf numFmtId="172" fontId="47" fillId="0" borderId="134" xfId="0" applyNumberFormat="1" applyFont="1" applyBorder="1" applyAlignment="1">
      <alignment horizontal="center"/>
    </xf>
    <xf numFmtId="172" fontId="47" fillId="0" borderId="135" xfId="0" applyNumberFormat="1" applyFont="1" applyBorder="1" applyAlignment="1">
      <alignment horizontal="center"/>
    </xf>
    <xf numFmtId="172" fontId="47" fillId="0" borderId="130" xfId="0" applyNumberFormat="1" applyFont="1" applyBorder="1" applyAlignment="1">
      <alignment horizontal="center"/>
    </xf>
    <xf numFmtId="49" fontId="70" fillId="0" borderId="27" xfId="0" applyNumberFormat="1" applyFont="1" applyBorder="1"/>
    <xf numFmtId="0" fontId="70" fillId="0" borderId="0" xfId="0" applyFont="1"/>
    <xf numFmtId="0" fontId="47" fillId="0" borderId="138" xfId="0" applyFont="1" applyBorder="1" applyAlignment="1">
      <alignment horizontal="left" indent="2"/>
    </xf>
    <xf numFmtId="49" fontId="49" fillId="0" borderId="139" xfId="0" applyNumberFormat="1" applyFont="1" applyBorder="1"/>
    <xf numFmtId="0" fontId="47" fillId="0" borderId="146" xfId="0" applyFont="1" applyBorder="1" applyAlignment="1">
      <alignment horizontal="left" indent="2"/>
    </xf>
    <xf numFmtId="49" fontId="49" fillId="0" borderId="147" xfId="0" applyNumberFormat="1" applyFont="1" applyBorder="1"/>
    <xf numFmtId="0" fontId="47" fillId="0" borderId="152" xfId="0" applyFont="1" applyBorder="1" applyAlignment="1">
      <alignment horizontal="left" indent="2"/>
    </xf>
    <xf numFmtId="49" fontId="49" fillId="0" borderId="129" xfId="0" applyNumberFormat="1" applyFont="1" applyBorder="1"/>
    <xf numFmtId="0" fontId="47" fillId="0" borderId="153" xfId="0" applyFont="1" applyBorder="1" applyAlignment="1">
      <alignment horizontal="left" indent="2"/>
    </xf>
    <xf numFmtId="49" fontId="49" fillId="0" borderId="154" xfId="0" applyNumberFormat="1" applyFont="1" applyBorder="1"/>
    <xf numFmtId="49" fontId="49" fillId="0" borderId="27" xfId="0" applyNumberFormat="1" applyFont="1" applyBorder="1"/>
    <xf numFmtId="49" fontId="43" fillId="0" borderId="29" xfId="0" applyNumberFormat="1" applyFont="1" applyBorder="1"/>
    <xf numFmtId="0" fontId="43" fillId="3" borderId="59" xfId="0" applyFont="1" applyFill="1" applyBorder="1" applyAlignment="1">
      <alignment horizontal="left" vertical="top" wrapText="1"/>
    </xf>
    <xf numFmtId="0" fontId="3" fillId="0" borderId="0" xfId="0" applyFont="1" applyAlignment="1">
      <alignment horizontal="center"/>
    </xf>
    <xf numFmtId="0" fontId="43" fillId="0" borderId="0" xfId="0" applyFont="1" applyAlignment="1">
      <alignment horizontal="center" textRotation="90"/>
    </xf>
    <xf numFmtId="0" fontId="66" fillId="0" borderId="0" xfId="50" applyFont="1"/>
    <xf numFmtId="0" fontId="64" fillId="3" borderId="11" xfId="50" applyFont="1" applyFill="1" applyBorder="1" applyAlignment="1">
      <alignment horizontal="center" vertical="center" wrapText="1"/>
    </xf>
    <xf numFmtId="0" fontId="64" fillId="3" borderId="14" xfId="50" applyFont="1" applyFill="1" applyBorder="1" applyAlignment="1">
      <alignment horizontal="center" vertical="center" wrapText="1"/>
    </xf>
    <xf numFmtId="0" fontId="66" fillId="3" borderId="9" xfId="50" applyFont="1" applyFill="1" applyBorder="1" applyAlignment="1">
      <alignment vertical="center" wrapText="1"/>
    </xf>
    <xf numFmtId="0" fontId="66" fillId="3" borderId="8" xfId="50" applyFont="1" applyFill="1" applyBorder="1" applyAlignment="1">
      <alignment vertical="center" wrapText="1"/>
    </xf>
    <xf numFmtId="0" fontId="66" fillId="0" borderId="13" xfId="50" applyFont="1" applyBorder="1" applyAlignment="1">
      <alignment vertical="center" wrapText="1"/>
    </xf>
    <xf numFmtId="9" fontId="66" fillId="3" borderId="0" xfId="51" applyFont="1" applyFill="1" applyBorder="1" applyAlignment="1">
      <alignment vertical="center" wrapText="1"/>
    </xf>
    <xf numFmtId="9" fontId="66" fillId="3" borderId="6" xfId="51" applyFont="1" applyFill="1" applyBorder="1" applyAlignment="1">
      <alignment vertical="center" wrapText="1"/>
    </xf>
    <xf numFmtId="0" fontId="66" fillId="0" borderId="67" xfId="50" applyFont="1" applyBorder="1" applyAlignment="1">
      <alignment horizontal="center" vertical="top" wrapText="1"/>
    </xf>
    <xf numFmtId="0" fontId="72" fillId="0" borderId="67" xfId="50" applyFont="1" applyBorder="1" applyAlignment="1">
      <alignment horizontal="left" vertical="top" wrapText="1"/>
    </xf>
    <xf numFmtId="0" fontId="66" fillId="0" borderId="0" xfId="50" applyFont="1" applyAlignment="1">
      <alignment vertical="top"/>
    </xf>
    <xf numFmtId="0" fontId="66" fillId="0" borderId="1" xfId="50" applyFont="1" applyBorder="1" applyAlignment="1">
      <alignment vertical="top" wrapText="1"/>
    </xf>
    <xf numFmtId="0" fontId="66" fillId="0" borderId="1" xfId="50" applyFont="1" applyBorder="1" applyAlignment="1">
      <alignment horizontal="center" vertical="top" wrapText="1"/>
    </xf>
    <xf numFmtId="0" fontId="66" fillId="0" borderId="34" xfId="50" applyFont="1" applyBorder="1" applyAlignment="1">
      <alignment vertical="top" wrapText="1"/>
    </xf>
    <xf numFmtId="0" fontId="66" fillId="0" borderId="88" xfId="50" applyFont="1" applyBorder="1" applyAlignment="1">
      <alignment vertical="top" wrapText="1"/>
    </xf>
    <xf numFmtId="0" fontId="66" fillId="0" borderId="211" xfId="50" applyFont="1" applyBorder="1" applyAlignment="1">
      <alignment vertical="top" wrapText="1"/>
    </xf>
    <xf numFmtId="0" fontId="66" fillId="0" borderId="80" xfId="50" applyFont="1" applyBorder="1" applyAlignment="1">
      <alignment vertical="top" wrapText="1"/>
    </xf>
    <xf numFmtId="0" fontId="66" fillId="0" borderId="212" xfId="50" applyFont="1" applyBorder="1" applyAlignment="1">
      <alignment vertical="top" wrapText="1"/>
    </xf>
    <xf numFmtId="0" fontId="66" fillId="3" borderId="211" xfId="50" applyFont="1" applyFill="1" applyBorder="1" applyAlignment="1">
      <alignment vertical="center" wrapText="1"/>
    </xf>
    <xf numFmtId="0" fontId="66" fillId="3" borderId="66" xfId="50" applyFont="1" applyFill="1" applyBorder="1" applyAlignment="1">
      <alignment vertical="center" wrapText="1"/>
    </xf>
    <xf numFmtId="0" fontId="66" fillId="3" borderId="67" xfId="50" applyFont="1" applyFill="1" applyBorder="1" applyAlignment="1">
      <alignment vertical="center" wrapText="1"/>
    </xf>
    <xf numFmtId="0" fontId="66" fillId="3" borderId="68" xfId="50" applyFont="1" applyFill="1" applyBorder="1" applyAlignment="1">
      <alignment vertical="center" wrapText="1"/>
    </xf>
    <xf numFmtId="9" fontId="66" fillId="0" borderId="71" xfId="51" applyFont="1" applyBorder="1" applyAlignment="1">
      <alignment vertical="center" wrapText="1"/>
    </xf>
    <xf numFmtId="9" fontId="66" fillId="0" borderId="51" xfId="51" applyFont="1" applyBorder="1" applyAlignment="1">
      <alignment vertical="center" wrapText="1"/>
    </xf>
    <xf numFmtId="9" fontId="66" fillId="0" borderId="72" xfId="51" applyFont="1" applyBorder="1" applyAlignment="1">
      <alignment vertical="center" wrapText="1"/>
    </xf>
    <xf numFmtId="0" fontId="66" fillId="3" borderId="214" xfId="50" applyFont="1" applyFill="1" applyBorder="1" applyAlignment="1">
      <alignment vertical="center" wrapText="1"/>
    </xf>
    <xf numFmtId="0" fontId="66" fillId="0" borderId="31" xfId="50" applyFont="1" applyBorder="1" applyAlignment="1">
      <alignment vertical="center" wrapText="1"/>
    </xf>
    <xf numFmtId="0" fontId="21" fillId="7" borderId="20" xfId="12" applyAlignment="1">
      <alignment vertical="top" wrapText="1"/>
    </xf>
    <xf numFmtId="0" fontId="21" fillId="7" borderId="93" xfId="12" applyBorder="1" applyAlignment="1">
      <alignment vertical="top" wrapText="1"/>
    </xf>
    <xf numFmtId="0" fontId="21" fillId="7" borderId="216" xfId="12" applyBorder="1" applyAlignment="1">
      <alignment horizontal="center" vertical="center" wrapText="1"/>
    </xf>
    <xf numFmtId="0" fontId="21" fillId="7" borderId="217" xfId="12" applyBorder="1" applyAlignment="1">
      <alignment horizontal="center" vertical="center" wrapText="1"/>
    </xf>
    <xf numFmtId="0" fontId="66" fillId="0" borderId="210" xfId="50" applyFont="1" applyBorder="1" applyAlignment="1">
      <alignment horizontal="center" vertical="top" wrapText="1"/>
    </xf>
    <xf numFmtId="0" fontId="66" fillId="0" borderId="88" xfId="50" applyFont="1" applyBorder="1" applyAlignment="1">
      <alignment horizontal="center" vertical="top" wrapText="1"/>
    </xf>
    <xf numFmtId="0" fontId="66" fillId="0" borderId="8" xfId="50" applyFont="1" applyBorder="1" applyAlignment="1">
      <alignment vertical="top" wrapText="1"/>
    </xf>
    <xf numFmtId="0" fontId="21" fillId="7" borderId="218" xfId="12" applyBorder="1" applyAlignment="1">
      <alignment horizontal="center" vertical="center" wrapText="1"/>
    </xf>
    <xf numFmtId="0" fontId="21" fillId="7" borderId="219" xfId="12" applyBorder="1" applyAlignment="1">
      <alignment vertical="top" wrapText="1"/>
    </xf>
    <xf numFmtId="0" fontId="21" fillId="7" borderId="220" xfId="12" applyBorder="1" applyAlignment="1">
      <alignment vertical="top" wrapText="1"/>
    </xf>
    <xf numFmtId="0" fontId="21" fillId="7" borderId="221" xfId="12" applyBorder="1" applyAlignment="1">
      <alignment vertical="top" wrapText="1"/>
    </xf>
    <xf numFmtId="0" fontId="66" fillId="0" borderId="0" xfId="0" applyFont="1"/>
    <xf numFmtId="0" fontId="64" fillId="0" borderId="0" xfId="0" applyFont="1"/>
    <xf numFmtId="0" fontId="66" fillId="0" borderId="0" xfId="0" applyFont="1" applyAlignment="1">
      <alignment horizontal="center"/>
    </xf>
    <xf numFmtId="0" fontId="77" fillId="0" borderId="33" xfId="0" applyFont="1" applyBorder="1" applyAlignment="1">
      <alignment horizontal="left" vertical="top" wrapText="1"/>
    </xf>
    <xf numFmtId="0" fontId="77" fillId="0" borderId="33" xfId="0" applyFont="1" applyBorder="1" applyAlignment="1">
      <alignment horizontal="left" vertical="top" wrapText="1" readingOrder="1"/>
    </xf>
    <xf numFmtId="0" fontId="66" fillId="0" borderId="33" xfId="0" applyFont="1" applyBorder="1" applyAlignment="1">
      <alignment vertical="top" wrapText="1"/>
    </xf>
    <xf numFmtId="0" fontId="77" fillId="0" borderId="1" xfId="0" applyFont="1" applyBorder="1" applyAlignment="1">
      <alignment horizontal="left" vertical="top" wrapText="1" readingOrder="1"/>
    </xf>
    <xf numFmtId="0" fontId="66" fillId="0" borderId="1" xfId="0" applyFont="1" applyBorder="1" applyAlignment="1">
      <alignment vertical="top" wrapText="1"/>
    </xf>
    <xf numFmtId="0" fontId="66" fillId="0" borderId="1" xfId="0" applyFont="1" applyBorder="1" applyAlignment="1">
      <alignment horizontal="left" vertical="center"/>
    </xf>
    <xf numFmtId="0" fontId="76" fillId="0" borderId="1" xfId="0" applyFont="1" applyBorder="1" applyAlignment="1">
      <alignment horizontal="left" vertical="top" wrapText="1"/>
    </xf>
    <xf numFmtId="0" fontId="77" fillId="0" borderId="1" xfId="0" applyFont="1" applyBorder="1" applyAlignment="1">
      <alignment horizontal="left" vertical="top" wrapText="1"/>
    </xf>
    <xf numFmtId="0" fontId="66" fillId="0" borderId="0" xfId="0" applyFont="1" applyAlignment="1">
      <alignment horizontal="left"/>
    </xf>
    <xf numFmtId="0" fontId="40" fillId="0" borderId="0" xfId="0" applyFont="1" applyAlignment="1">
      <alignment horizontal="center"/>
    </xf>
    <xf numFmtId="0" fontId="77" fillId="3" borderId="33" xfId="0" applyFont="1" applyFill="1" applyBorder="1" applyAlignment="1">
      <alignment horizontal="center" vertical="top" wrapText="1" readingOrder="1"/>
    </xf>
    <xf numFmtId="0" fontId="77" fillId="3" borderId="1" xfId="0" applyFont="1" applyFill="1" applyBorder="1" applyAlignment="1">
      <alignment horizontal="center" vertical="top" wrapText="1" readingOrder="1"/>
    </xf>
    <xf numFmtId="0" fontId="77" fillId="51" borderId="33" xfId="0" applyFont="1" applyFill="1" applyBorder="1" applyAlignment="1">
      <alignment horizontal="center" vertical="top" wrapText="1"/>
    </xf>
    <xf numFmtId="0" fontId="77" fillId="51" borderId="1" xfId="0" applyFont="1" applyFill="1" applyBorder="1" applyAlignment="1">
      <alignment horizontal="center" vertical="top" wrapText="1"/>
    </xf>
    <xf numFmtId="0" fontId="66" fillId="39" borderId="0" xfId="0" applyFont="1" applyFill="1"/>
    <xf numFmtId="0" fontId="66" fillId="39" borderId="0" xfId="0" applyFont="1" applyFill="1" applyAlignment="1">
      <alignment horizontal="center"/>
    </xf>
    <xf numFmtId="0" fontId="64" fillId="39" borderId="0" xfId="0" applyFont="1" applyFill="1"/>
    <xf numFmtId="0" fontId="66" fillId="2" borderId="0" xfId="0" applyFont="1" applyFill="1"/>
    <xf numFmtId="0" fontId="66" fillId="0" borderId="1" xfId="0" applyFont="1" applyBorder="1" applyAlignment="1">
      <alignment horizontal="left" indent="1"/>
    </xf>
    <xf numFmtId="0" fontId="79" fillId="7" borderId="20" xfId="12" applyFont="1"/>
    <xf numFmtId="0" fontId="66" fillId="0" borderId="0" xfId="0" quotePrefix="1" applyFont="1"/>
    <xf numFmtId="0" fontId="64" fillId="0" borderId="1" xfId="0" applyFont="1" applyBorder="1"/>
    <xf numFmtId="0" fontId="66" fillId="7" borderId="20" xfId="12" applyFont="1"/>
    <xf numFmtId="168" fontId="64" fillId="8" borderId="20" xfId="14" applyNumberFormat="1" applyFont="1"/>
    <xf numFmtId="9" fontId="66" fillId="7" borderId="20" xfId="12" applyNumberFormat="1" applyFont="1"/>
    <xf numFmtId="167" fontId="66" fillId="7" borderId="20" xfId="12" applyNumberFormat="1" applyFont="1"/>
    <xf numFmtId="0" fontId="21" fillId="7" borderId="20" xfId="12"/>
    <xf numFmtId="0" fontId="62" fillId="0" borderId="0" xfId="0" applyFont="1" applyAlignment="1">
      <alignment horizontal="center"/>
    </xf>
    <xf numFmtId="0" fontId="81" fillId="0" borderId="0" xfId="2" applyFont="1" applyAlignment="1">
      <alignment vertical="center"/>
    </xf>
    <xf numFmtId="0" fontId="82" fillId="0" borderId="0" xfId="2" applyFont="1" applyAlignment="1">
      <alignment vertical="center"/>
    </xf>
    <xf numFmtId="0" fontId="83" fillId="0" borderId="0" xfId="2" applyFont="1" applyAlignment="1">
      <alignment vertical="center"/>
    </xf>
    <xf numFmtId="0" fontId="32" fillId="0" borderId="0" xfId="2" applyFont="1" applyAlignment="1">
      <alignment vertical="center"/>
    </xf>
    <xf numFmtId="0" fontId="32" fillId="0" borderId="0" xfId="2" applyFont="1" applyAlignment="1">
      <alignment horizontal="right" vertical="center"/>
    </xf>
    <xf numFmtId="0" fontId="84" fillId="0" borderId="0" xfId="2" applyFont="1" applyAlignment="1">
      <alignment vertical="center"/>
    </xf>
    <xf numFmtId="0" fontId="85" fillId="0" borderId="0" xfId="49" applyFont="1" applyAlignment="1" applyProtection="1">
      <alignment horizontal="right" vertical="center"/>
    </xf>
    <xf numFmtId="0" fontId="83" fillId="0" borderId="0" xfId="2" applyFont="1" applyAlignment="1">
      <alignment horizontal="left" vertical="center"/>
    </xf>
    <xf numFmtId="165" fontId="83" fillId="0" borderId="0" xfId="2" applyNumberFormat="1" applyFont="1" applyAlignment="1">
      <alignment horizontal="left" vertical="center"/>
    </xf>
    <xf numFmtId="0" fontId="86" fillId="0" borderId="0" xfId="2" applyFont="1" applyAlignment="1">
      <alignment vertical="center"/>
    </xf>
    <xf numFmtId="0" fontId="81" fillId="0" borderId="7" xfId="2" applyFont="1" applyBorder="1" applyAlignment="1">
      <alignment vertical="center"/>
    </xf>
    <xf numFmtId="0" fontId="87" fillId="0" borderId="0" xfId="2" applyFont="1" applyAlignment="1">
      <alignment vertical="center"/>
    </xf>
    <xf numFmtId="1" fontId="87" fillId="0" borderId="0" xfId="2" applyNumberFormat="1" applyFont="1" applyAlignment="1">
      <alignment vertical="center"/>
    </xf>
    <xf numFmtId="0" fontId="87" fillId="0" borderId="6" xfId="2" applyFont="1" applyBorder="1" applyAlignment="1">
      <alignment vertical="center"/>
    </xf>
    <xf numFmtId="0" fontId="88" fillId="0" borderId="0" xfId="2" applyFont="1" applyAlignment="1">
      <alignment vertical="center"/>
    </xf>
    <xf numFmtId="0" fontId="83" fillId="0" borderId="0" xfId="2" applyFont="1" applyAlignment="1">
      <alignment horizontal="right" vertical="center"/>
    </xf>
    <xf numFmtId="0" fontId="87" fillId="0" borderId="0" xfId="2" applyFont="1" applyAlignment="1">
      <alignment horizontal="center" vertical="center"/>
    </xf>
    <xf numFmtId="166" fontId="87" fillId="0" borderId="0" xfId="2" applyNumberFormat="1" applyFont="1" applyAlignment="1">
      <alignment vertical="center"/>
    </xf>
    <xf numFmtId="0" fontId="81" fillId="0" borderId="5" xfId="2" applyFont="1" applyBorder="1" applyAlignment="1">
      <alignment vertical="center"/>
    </xf>
    <xf numFmtId="0" fontId="87" fillId="0" borderId="4" xfId="2" applyFont="1" applyBorder="1" applyAlignment="1">
      <alignment vertical="center"/>
    </xf>
    <xf numFmtId="0" fontId="87" fillId="0" borderId="3" xfId="2" applyFont="1" applyBorder="1" applyAlignment="1">
      <alignment vertical="center"/>
    </xf>
    <xf numFmtId="171" fontId="87" fillId="0" borderId="0" xfId="2" applyNumberFormat="1" applyFont="1" applyAlignment="1">
      <alignment vertical="center"/>
    </xf>
    <xf numFmtId="0" fontId="90" fillId="0" borderId="89" xfId="2" applyFont="1" applyBorder="1" applyAlignment="1">
      <alignment horizontal="right" vertical="center"/>
    </xf>
    <xf numFmtId="0" fontId="83" fillId="0" borderId="90" xfId="2" applyFont="1" applyBorder="1" applyAlignment="1">
      <alignment vertical="center"/>
    </xf>
    <xf numFmtId="0" fontId="83" fillId="0" borderId="0" xfId="2" applyFont="1"/>
    <xf numFmtId="0" fontId="86" fillId="0" borderId="0" xfId="2" applyFont="1" applyAlignment="1">
      <alignment horizontal="center" vertical="center"/>
    </xf>
    <xf numFmtId="0" fontId="83" fillId="41" borderId="0" xfId="2" applyFont="1" applyFill="1" applyAlignment="1">
      <alignment vertical="center"/>
    </xf>
    <xf numFmtId="0" fontId="87" fillId="0" borderId="9" xfId="2" applyFont="1" applyBorder="1" applyAlignment="1">
      <alignment vertical="center"/>
    </xf>
    <xf numFmtId="0" fontId="87" fillId="0" borderId="8" xfId="2" applyFont="1" applyBorder="1" applyAlignment="1">
      <alignment vertical="center"/>
    </xf>
    <xf numFmtId="0" fontId="21" fillId="7" borderId="20" xfId="12" applyAlignment="1">
      <alignment vertical="center"/>
    </xf>
    <xf numFmtId="0" fontId="81" fillId="42" borderId="0" xfId="2" applyFont="1" applyFill="1" applyAlignment="1">
      <alignment vertical="center"/>
    </xf>
    <xf numFmtId="0" fontId="88" fillId="42" borderId="0" xfId="2" applyFont="1" applyFill="1" applyAlignment="1">
      <alignment vertical="center"/>
    </xf>
    <xf numFmtId="0" fontId="83" fillId="42" borderId="0" xfId="2" applyFont="1" applyFill="1" applyAlignment="1">
      <alignment vertical="center"/>
    </xf>
    <xf numFmtId="0" fontId="51" fillId="7" borderId="20" xfId="12" applyFont="1" applyAlignment="1">
      <alignment horizontal="centerContinuous"/>
    </xf>
    <xf numFmtId="0" fontId="91" fillId="8" borderId="20" xfId="14" applyFont="1"/>
    <xf numFmtId="0" fontId="50" fillId="35" borderId="0" xfId="0" applyFont="1" applyFill="1"/>
    <xf numFmtId="0" fontId="45" fillId="8" borderId="20" xfId="14" applyFont="1"/>
    <xf numFmtId="167" fontId="45" fillId="8" borderId="20" xfId="14" applyNumberFormat="1" applyFont="1"/>
    <xf numFmtId="9" fontId="45" fillId="8" borderId="20" xfId="14" applyNumberFormat="1" applyFont="1"/>
    <xf numFmtId="0" fontId="69" fillId="0" borderId="0" xfId="0" applyFont="1" applyAlignment="1">
      <alignment horizontal="center" vertical="center" wrapText="1"/>
    </xf>
    <xf numFmtId="0" fontId="50" fillId="0" borderId="0" xfId="0" applyFont="1" applyAlignment="1">
      <alignment horizontal="center" vertical="center" wrapText="1"/>
    </xf>
    <xf numFmtId="0" fontId="50" fillId="0" borderId="0" xfId="0" quotePrefix="1" applyFont="1" applyAlignment="1">
      <alignment horizontal="center" vertical="center" wrapText="1"/>
    </xf>
    <xf numFmtId="0" fontId="69" fillId="0" borderId="37" xfId="0" applyFont="1" applyBorder="1" applyAlignment="1">
      <alignment horizontal="center" vertical="center" wrapText="1"/>
    </xf>
    <xf numFmtId="164" fontId="44" fillId="7" borderId="20" xfId="12" applyNumberFormat="1" applyFont="1"/>
    <xf numFmtId="0" fontId="69" fillId="0" borderId="0" xfId="0" applyFont="1"/>
    <xf numFmtId="0" fontId="69" fillId="0" borderId="38" xfId="0" applyFont="1" applyBorder="1" applyAlignment="1">
      <alignment horizontal="center" vertical="center" wrapText="1"/>
    </xf>
    <xf numFmtId="0" fontId="50" fillId="2" borderId="40" xfId="0" applyFont="1" applyFill="1" applyBorder="1" applyAlignment="1">
      <alignment horizontal="center" vertical="center" wrapText="1"/>
    </xf>
    <xf numFmtId="0" fontId="50" fillId="2" borderId="35" xfId="0" applyFont="1" applyFill="1" applyBorder="1" applyAlignment="1">
      <alignment horizontal="center" vertical="center" wrapText="1"/>
    </xf>
    <xf numFmtId="0" fontId="50" fillId="2" borderId="39" xfId="0" applyFont="1" applyFill="1" applyBorder="1" applyAlignment="1">
      <alignment horizontal="center" vertical="center" wrapText="1"/>
    </xf>
    <xf numFmtId="0" fontId="50" fillId="0" borderId="40" xfId="0" applyFont="1" applyBorder="1" applyAlignment="1">
      <alignment horizontal="center" vertical="center" wrapText="1"/>
    </xf>
    <xf numFmtId="0" fontId="50" fillId="0" borderId="35" xfId="0" applyFont="1" applyBorder="1" applyAlignment="1">
      <alignment horizontal="center" vertical="center" wrapText="1"/>
    </xf>
    <xf numFmtId="0" fontId="50" fillId="0" borderId="39" xfId="0" applyFont="1" applyBorder="1" applyAlignment="1">
      <alignment horizontal="center" vertical="center" wrapText="1"/>
    </xf>
    <xf numFmtId="0" fontId="50" fillId="0" borderId="41" xfId="0" applyFont="1" applyBorder="1" applyAlignment="1">
      <alignment horizontal="center" vertical="center" wrapText="1"/>
    </xf>
    <xf numFmtId="0" fontId="50" fillId="0" borderId="42" xfId="0" applyFont="1" applyBorder="1" applyAlignment="1">
      <alignment horizontal="center" vertical="center" wrapText="1"/>
    </xf>
    <xf numFmtId="0" fontId="50" fillId="0" borderId="26" xfId="0" applyFont="1" applyBorder="1" applyAlignment="1">
      <alignment horizontal="center" vertical="center" wrapText="1"/>
    </xf>
    <xf numFmtId="0" fontId="93" fillId="0" borderId="0" xfId="0" applyFont="1"/>
    <xf numFmtId="0" fontId="64" fillId="0" borderId="0" xfId="0" applyFont="1" applyAlignment="1">
      <alignment horizontal="center" wrapText="1"/>
    </xf>
    <xf numFmtId="0" fontId="93" fillId="0" borderId="0" xfId="0" applyFont="1" applyAlignment="1">
      <alignment horizontal="center" vertical="center" wrapText="1"/>
    </xf>
    <xf numFmtId="0" fontId="79" fillId="7" borderId="20" xfId="12" applyFont="1" applyAlignment="1">
      <alignment horizontal="center"/>
    </xf>
    <xf numFmtId="0" fontId="94" fillId="0" borderId="0" xfId="0" applyFont="1"/>
    <xf numFmtId="169" fontId="93" fillId="0" borderId="0" xfId="48" applyNumberFormat="1" applyFont="1" applyAlignment="1">
      <alignment horizontal="center"/>
    </xf>
    <xf numFmtId="0" fontId="43" fillId="0" borderId="0" xfId="0" applyFont="1" applyAlignment="1">
      <alignment horizontal="center" wrapText="1"/>
    </xf>
    <xf numFmtId="0" fontId="43" fillId="0" borderId="0" xfId="0" applyFont="1" applyAlignment="1">
      <alignment wrapText="1"/>
    </xf>
    <xf numFmtId="0" fontId="44" fillId="7" borderId="20" xfId="12" applyFont="1"/>
    <xf numFmtId="0" fontId="64" fillId="0" borderId="0" xfId="0" applyFont="1" applyAlignment="1">
      <alignment horizontal="center" vertical="center" wrapText="1"/>
    </xf>
    <xf numFmtId="169" fontId="93" fillId="0" borderId="0" xfId="48" applyNumberFormat="1" applyFont="1" applyAlignment="1">
      <alignment horizontal="center" vertical="center" wrapText="1"/>
    </xf>
    <xf numFmtId="169" fontId="93" fillId="0" borderId="0" xfId="48" applyNumberFormat="1" applyFont="1"/>
    <xf numFmtId="169" fontId="93" fillId="2" borderId="0" xfId="48" applyNumberFormat="1" applyFont="1" applyFill="1"/>
    <xf numFmtId="0" fontId="94" fillId="2" borderId="0" xfId="0" applyFont="1" applyFill="1"/>
    <xf numFmtId="14" fontId="54" fillId="0" borderId="0" xfId="2" applyNumberFormat="1" applyFont="1"/>
    <xf numFmtId="0" fontId="54" fillId="0" borderId="0" xfId="2" applyFont="1"/>
    <xf numFmtId="2" fontId="94" fillId="8" borderId="20" xfId="14" applyNumberFormat="1" applyFont="1"/>
    <xf numFmtId="0" fontId="94" fillId="8" borderId="20" xfId="14" applyFont="1"/>
    <xf numFmtId="164" fontId="50" fillId="0" borderId="0" xfId="48" applyFont="1" applyAlignment="1">
      <alignment horizontal="center" vertical="center"/>
    </xf>
    <xf numFmtId="164" fontId="44" fillId="7" borderId="20" xfId="12" applyNumberFormat="1" applyFont="1" applyAlignment="1">
      <alignment horizontal="center" vertical="center" wrapText="1"/>
    </xf>
    <xf numFmtId="16" fontId="3" fillId="0" borderId="0" xfId="0" applyNumberFormat="1" applyFont="1" applyAlignment="1">
      <alignment horizontal="center" vertical="center"/>
    </xf>
    <xf numFmtId="2" fontId="44" fillId="7" borderId="20" xfId="12" applyNumberFormat="1" applyFont="1"/>
    <xf numFmtId="164" fontId="50" fillId="0" borderId="0" xfId="48" applyFont="1"/>
    <xf numFmtId="164" fontId="69" fillId="0" borderId="0" xfId="0" applyNumberFormat="1" applyFont="1"/>
    <xf numFmtId="164" fontId="44" fillId="7" borderId="20" xfId="12" applyNumberFormat="1" applyFont="1" applyAlignment="1">
      <alignment horizontal="center" vertical="center"/>
    </xf>
    <xf numFmtId="0" fontId="44" fillId="7" borderId="20" xfId="12" applyFont="1" applyAlignment="1">
      <alignment horizontal="center" vertical="center"/>
    </xf>
    <xf numFmtId="164" fontId="3" fillId="0" borderId="0" xfId="48" applyFont="1" applyAlignment="1">
      <alignment horizontal="center" vertical="center"/>
    </xf>
    <xf numFmtId="0" fontId="48" fillId="35" borderId="11" xfId="0" applyFont="1" applyFill="1" applyBorder="1" applyAlignment="1" applyProtection="1">
      <alignment horizontal="center" vertical="center" wrapText="1"/>
      <protection locked="0"/>
    </xf>
    <xf numFmtId="0" fontId="48" fillId="35" borderId="48" xfId="0" applyFont="1" applyFill="1" applyBorder="1" applyAlignment="1" applyProtection="1">
      <alignment horizontal="center"/>
      <protection locked="0"/>
    </xf>
    <xf numFmtId="0" fontId="48" fillId="35" borderId="12" xfId="0" applyFont="1" applyFill="1" applyBorder="1" applyAlignment="1" applyProtection="1">
      <alignment horizontal="center" vertical="center"/>
      <protection locked="0"/>
    </xf>
    <xf numFmtId="0" fontId="48" fillId="35" borderId="13" xfId="0" applyFont="1" applyFill="1" applyBorder="1" applyAlignment="1" applyProtection="1">
      <alignment horizontal="center"/>
      <protection locked="0"/>
    </xf>
    <xf numFmtId="0" fontId="48" fillId="40" borderId="12" xfId="0" applyFont="1" applyFill="1" applyBorder="1" applyAlignment="1">
      <alignment horizontal="center"/>
    </xf>
    <xf numFmtId="2" fontId="48" fillId="38" borderId="13" xfId="0" applyNumberFormat="1" applyFont="1" applyFill="1" applyBorder="1" applyAlignment="1">
      <alignment horizontal="center"/>
    </xf>
    <xf numFmtId="3" fontId="48" fillId="35" borderId="12" xfId="0" applyNumberFormat="1" applyFont="1" applyFill="1" applyBorder="1" applyAlignment="1" applyProtection="1">
      <alignment horizontal="center"/>
      <protection locked="0"/>
    </xf>
    <xf numFmtId="3" fontId="21" fillId="7" borderId="20" xfId="12" applyNumberFormat="1" applyAlignment="1">
      <alignment horizontal="center" vertical="top"/>
    </xf>
    <xf numFmtId="0" fontId="30" fillId="39" borderId="57" xfId="0" applyFont="1" applyFill="1" applyBorder="1" applyAlignment="1">
      <alignment horizontal="left" vertical="top" indent="2"/>
    </xf>
    <xf numFmtId="0" fontId="95" fillId="0" borderId="0" xfId="0" applyFont="1"/>
    <xf numFmtId="171" fontId="48" fillId="35" borderId="48" xfId="0" applyNumberFormat="1" applyFont="1" applyFill="1" applyBorder="1" applyAlignment="1" applyProtection="1">
      <alignment horizontal="center"/>
      <protection locked="0"/>
    </xf>
    <xf numFmtId="171" fontId="48" fillId="35" borderId="12" xfId="0" applyNumberFormat="1" applyFont="1" applyFill="1" applyBorder="1" applyAlignment="1" applyProtection="1">
      <alignment horizontal="center"/>
      <protection locked="0"/>
    </xf>
    <xf numFmtId="0" fontId="0" fillId="2" borderId="0" xfId="0" applyFill="1" applyAlignment="1">
      <alignment horizontal="center" vertical="center" wrapText="1"/>
    </xf>
    <xf numFmtId="0" fontId="6" fillId="2" borderId="0" xfId="0" applyFont="1" applyFill="1" applyAlignment="1">
      <alignment horizontal="center" vertical="center" wrapText="1"/>
    </xf>
    <xf numFmtId="0" fontId="0" fillId="0" borderId="0" xfId="0" applyAlignment="1">
      <alignment horizontal="center" vertical="center" wrapText="1"/>
    </xf>
    <xf numFmtId="0" fontId="97" fillId="0" borderId="0" xfId="0" applyFont="1" applyAlignment="1">
      <alignment horizontal="center" vertical="center"/>
    </xf>
    <xf numFmtId="0" fontId="0" fillId="0" borderId="227" xfId="0" applyBorder="1" applyAlignment="1">
      <alignment horizontal="center" vertical="center" wrapText="1"/>
    </xf>
    <xf numFmtId="0" fontId="7" fillId="0" borderId="227" xfId="0" applyFont="1" applyBorder="1" applyAlignment="1">
      <alignment horizontal="center" vertical="center" wrapText="1"/>
    </xf>
    <xf numFmtId="0" fontId="0" fillId="0" borderId="227" xfId="0" applyBorder="1" applyAlignment="1">
      <alignment horizontal="left" vertical="center"/>
    </xf>
    <xf numFmtId="0" fontId="0" fillId="0" borderId="228" xfId="0" applyBorder="1" applyAlignment="1">
      <alignment horizontal="center" vertical="center" wrapText="1"/>
    </xf>
    <xf numFmtId="0" fontId="12" fillId="51" borderId="1" xfId="0" applyFont="1" applyFill="1" applyBorder="1" applyAlignment="1">
      <alignment horizontal="center" vertical="center" wrapText="1"/>
    </xf>
    <xf numFmtId="0" fontId="0" fillId="0" borderId="4" xfId="0" applyBorder="1" applyAlignment="1">
      <alignment horizontal="center" vertical="center" wrapText="1"/>
    </xf>
    <xf numFmtId="0" fontId="7" fillId="51" borderId="34" xfId="0" applyFont="1" applyFill="1" applyBorder="1" applyAlignment="1">
      <alignment horizontal="center" vertical="center" wrapText="1"/>
    </xf>
    <xf numFmtId="0" fontId="0" fillId="0" borderId="230" xfId="0" applyBorder="1" applyAlignment="1">
      <alignment horizontal="center" vertical="center" wrapText="1"/>
    </xf>
    <xf numFmtId="0" fontId="0" fillId="49" borderId="229" xfId="0" applyFill="1" applyBorder="1" applyAlignment="1">
      <alignment horizontal="center" vertical="center" wrapText="1"/>
    </xf>
    <xf numFmtId="0" fontId="0" fillId="49" borderId="1" xfId="0" applyFill="1" applyBorder="1" applyAlignment="1">
      <alignment horizontal="center" vertical="center" wrapText="1"/>
    </xf>
    <xf numFmtId="0" fontId="21" fillId="7" borderId="20" xfId="55" applyFont="1"/>
    <xf numFmtId="173" fontId="6" fillId="52" borderId="1" xfId="0" applyNumberFormat="1" applyFont="1" applyFill="1" applyBorder="1" applyAlignment="1">
      <alignment horizontal="center" vertical="center" wrapText="1"/>
    </xf>
    <xf numFmtId="0" fontId="0" fillId="53" borderId="1" xfId="0" applyFill="1" applyBorder="1" applyAlignment="1">
      <alignment horizontal="center" vertical="center" wrapText="1"/>
    </xf>
    <xf numFmtId="0" fontId="0" fillId="53" borderId="1" xfId="0" applyFill="1" applyBorder="1" applyAlignment="1">
      <alignment horizontal="center" vertical="center"/>
    </xf>
    <xf numFmtId="173" fontId="0" fillId="53" borderId="1" xfId="0" applyNumberFormat="1" applyFill="1" applyBorder="1" applyAlignment="1">
      <alignment horizontal="center" vertical="center" wrapText="1"/>
    </xf>
    <xf numFmtId="173" fontId="0" fillId="53" borderId="1" xfId="0" applyNumberFormat="1" applyFill="1" applyBorder="1" applyAlignment="1">
      <alignment horizontal="center" vertical="center"/>
    </xf>
    <xf numFmtId="173" fontId="0" fillId="0" borderId="0" xfId="0" applyNumberFormat="1" applyAlignment="1">
      <alignment horizontal="center" vertical="center" wrapText="1"/>
    </xf>
    <xf numFmtId="173" fontId="0" fillId="0" borderId="7" xfId="0" applyNumberFormat="1" applyBorder="1" applyAlignment="1">
      <alignment horizontal="center" vertical="center" wrapText="1"/>
    </xf>
    <xf numFmtId="0" fontId="7" fillId="0" borderId="0" xfId="0" applyFont="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xf>
    <xf numFmtId="0" fontId="0" fillId="35" borderId="0" xfId="0" applyFill="1" applyAlignment="1">
      <alignment horizontal="center" vertical="center" wrapText="1"/>
    </xf>
    <xf numFmtId="173" fontId="0" fillId="53" borderId="34" xfId="0" applyNumberFormat="1" applyFill="1" applyBorder="1" applyAlignment="1">
      <alignment horizontal="center" vertical="center" wrapText="1"/>
    </xf>
    <xf numFmtId="10" fontId="0" fillId="0" borderId="0" xfId="0" applyNumberFormat="1" applyAlignment="1">
      <alignment horizontal="center" vertical="center" wrapText="1"/>
    </xf>
    <xf numFmtId="10" fontId="0" fillId="53" borderId="1" xfId="0" applyNumberFormat="1" applyFill="1" applyBorder="1" applyAlignment="1">
      <alignment horizontal="center" vertical="center" wrapText="1"/>
    </xf>
    <xf numFmtId="10" fontId="0" fillId="53" borderId="161" xfId="0" applyNumberFormat="1" applyFill="1" applyBorder="1" applyAlignment="1">
      <alignment horizontal="center" vertical="center" wrapText="1"/>
    </xf>
    <xf numFmtId="10" fontId="0" fillId="53" borderId="231" xfId="0" applyNumberFormat="1" applyFill="1" applyBorder="1" applyAlignment="1">
      <alignment horizontal="center" vertical="center" wrapText="1"/>
    </xf>
    <xf numFmtId="173" fontId="0" fillId="53" borderId="171" xfId="0" applyNumberFormat="1" applyFill="1" applyBorder="1" applyAlignment="1">
      <alignment horizontal="center" vertical="center" wrapText="1"/>
    </xf>
    <xf numFmtId="10" fontId="0" fillId="53" borderId="232" xfId="0" applyNumberFormat="1" applyFill="1" applyBorder="1" applyAlignment="1">
      <alignment horizontal="center" vertical="center" wrapText="1"/>
    </xf>
    <xf numFmtId="0" fontId="0" fillId="53" borderId="231" xfId="0" applyFill="1" applyBorder="1" applyAlignment="1">
      <alignment horizontal="center" vertical="center" wrapText="1"/>
    </xf>
    <xf numFmtId="174" fontId="0" fillId="0" borderId="0" xfId="0" applyNumberFormat="1" applyAlignment="1">
      <alignment horizontal="center" vertical="center" wrapText="1"/>
    </xf>
    <xf numFmtId="0" fontId="98" fillId="3" borderId="233" xfId="0" applyFont="1" applyFill="1" applyBorder="1" applyAlignment="1">
      <alignment horizontal="center" vertical="center" wrapText="1"/>
    </xf>
    <xf numFmtId="175" fontId="0" fillId="0" borderId="0" xfId="48" applyNumberFormat="1" applyFont="1" applyAlignment="1">
      <alignment horizontal="center" vertical="center" wrapText="1"/>
    </xf>
    <xf numFmtId="0" fontId="0" fillId="0" borderId="234" xfId="0" applyBorder="1" applyAlignment="1">
      <alignment horizontal="center" vertical="center" wrapText="1"/>
    </xf>
    <xf numFmtId="0" fontId="0" fillId="0" borderId="9" xfId="0" applyBorder="1" applyAlignment="1">
      <alignment horizontal="center" vertical="center" wrapText="1"/>
    </xf>
    <xf numFmtId="0" fontId="6" fillId="0" borderId="9" xfId="0" applyFont="1" applyBorder="1" applyAlignment="1">
      <alignment horizontal="center" vertical="center" wrapText="1"/>
    </xf>
    <xf numFmtId="173" fontId="6" fillId="0" borderId="9" xfId="0" applyNumberFormat="1" applyFont="1" applyBorder="1" applyAlignment="1">
      <alignment horizontal="center" vertical="center" wrapText="1"/>
    </xf>
    <xf numFmtId="0" fontId="0" fillId="0" borderId="235" xfId="0" applyBorder="1" applyAlignment="1">
      <alignment horizontal="center" vertical="center" wrapText="1"/>
    </xf>
    <xf numFmtId="173" fontId="7" fillId="52" borderId="1" xfId="0" applyNumberFormat="1" applyFont="1" applyFill="1" applyBorder="1" applyAlignment="1">
      <alignment horizontal="center" vertical="center" wrapText="1"/>
    </xf>
    <xf numFmtId="0" fontId="6" fillId="0" borderId="0" xfId="0" applyFont="1" applyAlignment="1">
      <alignment horizontal="center" vertical="center" wrapText="1"/>
    </xf>
    <xf numFmtId="176" fontId="6" fillId="0" borderId="0" xfId="0" applyNumberFormat="1" applyFont="1" applyAlignment="1">
      <alignment horizontal="center" vertical="center" wrapText="1"/>
    </xf>
    <xf numFmtId="0" fontId="0" fillId="0" borderId="244" xfId="0" applyBorder="1" applyAlignment="1">
      <alignment horizontal="center" vertical="center" wrapText="1"/>
    </xf>
    <xf numFmtId="0" fontId="0" fillId="0" borderId="245" xfId="0" applyBorder="1" applyAlignment="1">
      <alignment horizontal="center" vertical="center" wrapText="1"/>
    </xf>
    <xf numFmtId="0" fontId="6" fillId="0" borderId="245" xfId="0" applyFont="1" applyBorder="1" applyAlignment="1">
      <alignment horizontal="center" vertical="center" wrapText="1"/>
    </xf>
    <xf numFmtId="0" fontId="0" fillId="0" borderId="246" xfId="0" applyBorder="1" applyAlignment="1">
      <alignment horizontal="center" vertical="center" wrapText="1"/>
    </xf>
    <xf numFmtId="0" fontId="0" fillId="0" borderId="0" xfId="0" applyAlignment="1">
      <alignment horizontal="right" vertical="center"/>
    </xf>
    <xf numFmtId="4" fontId="23" fillId="8" borderId="96" xfId="48" applyNumberFormat="1" applyFont="1" applyFill="1" applyBorder="1" applyAlignment="1">
      <alignment horizontal="center" vertical="top"/>
    </xf>
    <xf numFmtId="4" fontId="21" fillId="7" borderId="93" xfId="12" applyNumberFormat="1" applyBorder="1" applyAlignment="1">
      <alignment horizontal="center" vertical="top"/>
    </xf>
    <xf numFmtId="4" fontId="21" fillId="7" borderId="20" xfId="12" applyNumberFormat="1" applyAlignment="1">
      <alignment horizontal="center" vertical="top"/>
    </xf>
    <xf numFmtId="2" fontId="21" fillId="7" borderId="20" xfId="48" applyNumberFormat="1" applyFont="1" applyFill="1" applyBorder="1" applyAlignment="1">
      <alignment horizontal="center" vertical="top"/>
    </xf>
    <xf numFmtId="2" fontId="23" fillId="8" borderId="96" xfId="48" applyNumberFormat="1" applyFont="1" applyFill="1" applyBorder="1" applyAlignment="1">
      <alignment horizontal="center" vertical="top"/>
    </xf>
    <xf numFmtId="0" fontId="8" fillId="0" borderId="92" xfId="0" applyFont="1" applyBorder="1" applyAlignment="1">
      <alignment horizontal="center" vertical="top" wrapText="1"/>
    </xf>
    <xf numFmtId="0" fontId="8" fillId="0" borderId="56" xfId="0" applyFont="1" applyBorder="1" applyAlignment="1">
      <alignment horizontal="center" vertical="top" wrapText="1"/>
    </xf>
    <xf numFmtId="0" fontId="0" fillId="2" borderId="0" xfId="0" applyFill="1" applyAlignment="1">
      <alignment horizontal="left" vertical="top"/>
    </xf>
    <xf numFmtId="0" fontId="2" fillId="0" borderId="0" xfId="0" applyFont="1" applyAlignment="1">
      <alignment horizontal="center"/>
    </xf>
    <xf numFmtId="0" fontId="2" fillId="0" borderId="0" xfId="0" applyFont="1"/>
    <xf numFmtId="0" fontId="43" fillId="0" borderId="0" xfId="0" applyFont="1" applyAlignment="1">
      <alignment horizontal="right"/>
    </xf>
    <xf numFmtId="0" fontId="103" fillId="0" borderId="0" xfId="0" applyFont="1" applyAlignment="1">
      <alignment horizontal="left"/>
    </xf>
    <xf numFmtId="0" fontId="2" fillId="0" borderId="0" xfId="0" applyFont="1" applyAlignment="1">
      <alignment horizontal="right"/>
    </xf>
    <xf numFmtId="0" fontId="2" fillId="0" borderId="0" xfId="0" applyFont="1" applyAlignment="1">
      <alignment horizontal="left"/>
    </xf>
    <xf numFmtId="0" fontId="102" fillId="7" borderId="162" xfId="12" applyFont="1" applyBorder="1" applyAlignment="1">
      <alignment horizontal="center"/>
    </xf>
    <xf numFmtId="0" fontId="102" fillId="7" borderId="0" xfId="12" applyFont="1" applyBorder="1" applyAlignment="1">
      <alignment horizontal="center"/>
    </xf>
    <xf numFmtId="0" fontId="102" fillId="7" borderId="163" xfId="12" applyFont="1" applyBorder="1" applyAlignment="1">
      <alignment horizontal="center"/>
    </xf>
    <xf numFmtId="0" fontId="43" fillId="0" borderId="34" xfId="0" applyFont="1" applyBorder="1" applyAlignment="1">
      <alignment horizontal="center"/>
    </xf>
    <xf numFmtId="0" fontId="44" fillId="7" borderId="164" xfId="12" applyFont="1" applyBorder="1" applyAlignment="1">
      <alignment horizontal="left"/>
    </xf>
    <xf numFmtId="0" fontId="44" fillId="7" borderId="165" xfId="12" applyFont="1" applyBorder="1"/>
    <xf numFmtId="0" fontId="44" fillId="7" borderId="166" xfId="12" applyFont="1" applyBorder="1"/>
    <xf numFmtId="0" fontId="44" fillId="7" borderId="167" xfId="12" applyFont="1" applyBorder="1"/>
    <xf numFmtId="0" fontId="45" fillId="8" borderId="168" xfId="14" applyFont="1" applyBorder="1" applyAlignment="1">
      <alignment horizontal="center"/>
    </xf>
    <xf numFmtId="9" fontId="45" fillId="8" borderId="169" xfId="1" applyFont="1" applyFill="1" applyBorder="1" applyAlignment="1">
      <alignment horizontal="right"/>
    </xf>
    <xf numFmtId="164" fontId="104" fillId="8" borderId="20" xfId="48" applyFont="1" applyFill="1" applyBorder="1"/>
    <xf numFmtId="164" fontId="104" fillId="8" borderId="170" xfId="48" applyFont="1" applyFill="1" applyBorder="1"/>
    <xf numFmtId="164" fontId="104" fillId="8" borderId="172" xfId="48" applyFont="1" applyFill="1" applyBorder="1"/>
    <xf numFmtId="9" fontId="45" fillId="8" borderId="173" xfId="1" applyFont="1" applyFill="1" applyBorder="1" applyAlignment="1">
      <alignment horizontal="right"/>
    </xf>
    <xf numFmtId="0" fontId="43" fillId="0" borderId="161" xfId="0" applyFont="1" applyBorder="1" applyAlignment="1">
      <alignment horizontal="left"/>
    </xf>
    <xf numFmtId="0" fontId="43" fillId="0" borderId="2" xfId="0" applyFont="1" applyBorder="1" applyAlignment="1">
      <alignment horizontal="left"/>
    </xf>
    <xf numFmtId="0" fontId="45" fillId="8" borderId="174" xfId="14" applyFont="1" applyBorder="1"/>
    <xf numFmtId="0" fontId="45" fillId="8" borderId="175" xfId="14" applyFont="1" applyBorder="1"/>
    <xf numFmtId="0" fontId="45" fillId="8" borderId="1" xfId="14" applyFont="1" applyBorder="1" applyAlignment="1">
      <alignment horizontal="center"/>
    </xf>
    <xf numFmtId="9" fontId="45" fillId="8" borderId="93" xfId="1" applyFont="1" applyFill="1" applyBorder="1"/>
    <xf numFmtId="9" fontId="45" fillId="8" borderId="176" xfId="1" applyFont="1" applyFill="1" applyBorder="1"/>
    <xf numFmtId="9" fontId="104" fillId="8" borderId="176" xfId="1" applyFont="1" applyFill="1" applyBorder="1"/>
    <xf numFmtId="164" fontId="45" fillId="8" borderId="20" xfId="14" applyNumberFormat="1" applyFont="1"/>
    <xf numFmtId="0" fontId="50" fillId="0" borderId="0" xfId="0" applyFont="1" applyAlignment="1">
      <alignment horizontal="right"/>
    </xf>
    <xf numFmtId="169" fontId="69" fillId="8" borderId="20" xfId="14" applyNumberFormat="1" applyFont="1"/>
    <xf numFmtId="0" fontId="48" fillId="3" borderId="0" xfId="0" applyFont="1" applyFill="1" applyAlignment="1">
      <alignment horizontal="left"/>
    </xf>
    <xf numFmtId="0" fontId="47" fillId="0" borderId="4" xfId="0" applyFont="1" applyBorder="1" applyAlignment="1">
      <alignment horizontal="center"/>
    </xf>
    <xf numFmtId="166" fontId="45" fillId="8" borderId="20" xfId="14" applyNumberFormat="1" applyFont="1" applyAlignment="1">
      <alignment horizontal="left"/>
    </xf>
    <xf numFmtId="169" fontId="45" fillId="8" borderId="20" xfId="48" applyNumberFormat="1" applyFont="1" applyFill="1" applyBorder="1" applyAlignment="1">
      <alignment horizontal="left"/>
    </xf>
    <xf numFmtId="0" fontId="48" fillId="0" borderId="0" xfId="0" applyFont="1" applyAlignment="1">
      <alignment horizontal="center"/>
    </xf>
    <xf numFmtId="0" fontId="48" fillId="0" borderId="0" xfId="0" applyFont="1" applyAlignment="1">
      <alignment horizontal="center" wrapText="1"/>
    </xf>
    <xf numFmtId="0" fontId="69" fillId="0" borderId="0" xfId="0" quotePrefix="1" applyFont="1" applyAlignment="1">
      <alignment wrapText="1"/>
    </xf>
    <xf numFmtId="0" fontId="50" fillId="0" borderId="0" xfId="0" applyFont="1" applyAlignment="1">
      <alignment horizontal="center" wrapText="1"/>
    </xf>
    <xf numFmtId="0" fontId="50" fillId="0" borderId="0" xfId="0" quotePrefix="1" applyFont="1" applyAlignment="1">
      <alignment horizontal="center" wrapText="1"/>
    </xf>
    <xf numFmtId="0" fontId="50" fillId="0" borderId="0" xfId="0" applyFont="1" applyAlignment="1">
      <alignment wrapText="1"/>
    </xf>
    <xf numFmtId="0" fontId="69" fillId="0" borderId="0" xfId="0" applyFont="1" applyAlignment="1">
      <alignment wrapText="1"/>
    </xf>
    <xf numFmtId="0" fontId="104" fillId="8" borderId="20" xfId="14" applyFont="1"/>
    <xf numFmtId="165" fontId="104" fillId="8" borderId="20" xfId="14" applyNumberFormat="1" applyFont="1"/>
    <xf numFmtId="168" fontId="50" fillId="0" borderId="0" xfId="48" applyNumberFormat="1" applyFont="1"/>
    <xf numFmtId="168" fontId="50" fillId="0" borderId="0" xfId="0" applyNumberFormat="1" applyFont="1"/>
    <xf numFmtId="169" fontId="50" fillId="0" borderId="0" xfId="48" applyNumberFormat="1" applyFont="1"/>
    <xf numFmtId="0" fontId="45" fillId="8" borderId="96" xfId="14" applyFont="1" applyBorder="1"/>
    <xf numFmtId="0" fontId="104" fillId="8" borderId="96" xfId="14" applyFont="1" applyBorder="1"/>
    <xf numFmtId="165" fontId="104" fillId="8" borderId="96" xfId="14" applyNumberFormat="1" applyFont="1" applyBorder="1"/>
    <xf numFmtId="0" fontId="45" fillId="8" borderId="93" xfId="14" applyFont="1" applyBorder="1"/>
    <xf numFmtId="2" fontId="45" fillId="8" borderId="93" xfId="14" applyNumberFormat="1" applyFont="1" applyBorder="1"/>
    <xf numFmtId="0" fontId="50" fillId="0" borderId="0" xfId="0" quotePrefix="1" applyFont="1"/>
    <xf numFmtId="0" fontId="69" fillId="0" borderId="0" xfId="0" applyFont="1" applyAlignment="1">
      <alignment horizontal="right"/>
    </xf>
    <xf numFmtId="0" fontId="67" fillId="3" borderId="32" xfId="0" applyFont="1" applyFill="1" applyBorder="1" applyAlignment="1">
      <alignment horizontal="left"/>
    </xf>
    <xf numFmtId="0" fontId="105" fillId="7" borderId="32" xfId="12" applyFont="1" applyBorder="1" applyAlignment="1">
      <alignment horizontal="center"/>
    </xf>
    <xf numFmtId="0" fontId="64" fillId="0" borderId="4" xfId="0" applyFont="1" applyBorder="1"/>
    <xf numFmtId="0" fontId="78" fillId="8" borderId="20" xfId="14" applyFont="1"/>
    <xf numFmtId="0" fontId="64" fillId="0" borderId="5" xfId="0" applyFont="1" applyBorder="1" applyAlignment="1">
      <alignment horizontal="center"/>
    </xf>
    <xf numFmtId="0" fontId="79" fillId="7" borderId="0" xfId="12" applyFont="1" applyBorder="1"/>
    <xf numFmtId="0" fontId="64" fillId="0" borderId="0" xfId="0" applyFont="1" applyAlignment="1">
      <alignment horizontal="right"/>
    </xf>
    <xf numFmtId="0" fontId="93" fillId="0" borderId="7" xfId="0" applyFont="1" applyBorder="1"/>
    <xf numFmtId="0" fontId="66" fillId="0" borderId="0" xfId="0" applyFont="1" applyAlignment="1">
      <alignment horizontal="right"/>
    </xf>
    <xf numFmtId="164" fontId="106" fillId="8" borderId="20" xfId="48" applyFont="1" applyFill="1" applyBorder="1"/>
    <xf numFmtId="164" fontId="78" fillId="8" borderId="20" xfId="14" applyNumberFormat="1" applyFont="1"/>
    <xf numFmtId="164" fontId="106" fillId="8" borderId="20" xfId="14" applyNumberFormat="1" applyFont="1"/>
    <xf numFmtId="170" fontId="66" fillId="0" borderId="0" xfId="0" applyNumberFormat="1" applyFont="1"/>
    <xf numFmtId="0" fontId="106" fillId="8" borderId="20" xfId="14" applyFont="1"/>
    <xf numFmtId="166" fontId="106" fillId="8" borderId="20" xfId="14" applyNumberFormat="1" applyFont="1"/>
    <xf numFmtId="2" fontId="106" fillId="8" borderId="20" xfId="14" applyNumberFormat="1" applyFont="1"/>
    <xf numFmtId="166" fontId="78" fillId="8" borderId="20" xfId="14" applyNumberFormat="1" applyFont="1"/>
    <xf numFmtId="0" fontId="96" fillId="7" borderId="20" xfId="55" applyAlignment="1">
      <alignment horizontal="center" wrapText="1"/>
    </xf>
    <xf numFmtId="0" fontId="96" fillId="7" borderId="20" xfId="55" applyAlignment="1">
      <alignment horizontal="center"/>
    </xf>
    <xf numFmtId="0" fontId="38" fillId="7" borderId="20" xfId="12" applyFont="1" applyAlignment="1">
      <alignment horizontal="center" vertical="center" wrapText="1"/>
    </xf>
    <xf numFmtId="0" fontId="12" fillId="0" borderId="0" xfId="0" applyFont="1"/>
    <xf numFmtId="49" fontId="7" fillId="35" borderId="0" xfId="0" applyNumberFormat="1" applyFont="1" applyFill="1"/>
    <xf numFmtId="49" fontId="7" fillId="0" borderId="0" xfId="0" applyNumberFormat="1" applyFont="1"/>
    <xf numFmtId="0" fontId="13" fillId="35" borderId="0" xfId="0" applyFont="1" applyFill="1"/>
    <xf numFmtId="0" fontId="107" fillId="35" borderId="0" xfId="0" applyFont="1" applyFill="1" applyAlignment="1">
      <alignment horizontal="left" vertical="center" indent="2"/>
    </xf>
    <xf numFmtId="0" fontId="13" fillId="35" borderId="0" xfId="0" applyFont="1" applyFill="1" applyAlignment="1">
      <alignment horizontal="left" vertical="top" wrapText="1"/>
    </xf>
    <xf numFmtId="0" fontId="13" fillId="0" borderId="0" xfId="0" applyFont="1" applyAlignment="1">
      <alignment horizontal="left" vertical="top" wrapText="1"/>
    </xf>
    <xf numFmtId="0" fontId="108" fillId="35" borderId="0" xfId="0" applyFont="1" applyFill="1" applyAlignment="1">
      <alignment horizontal="left" vertical="center" indent="3"/>
    </xf>
    <xf numFmtId="0" fontId="107" fillId="35" borderId="0" xfId="0" applyFont="1" applyFill="1" applyAlignment="1">
      <alignment horizontal="left" vertical="center" indent="3"/>
    </xf>
    <xf numFmtId="0" fontId="7" fillId="35" borderId="0" xfId="0" applyFont="1" applyFill="1"/>
    <xf numFmtId="0" fontId="7" fillId="0" borderId="0" xfId="0" applyFont="1" applyAlignment="1">
      <alignment horizontal="center"/>
    </xf>
    <xf numFmtId="0" fontId="7" fillId="0" borderId="0" xfId="0" applyFont="1" applyAlignment="1">
      <alignment horizontal="center" wrapText="1"/>
    </xf>
    <xf numFmtId="0" fontId="7" fillId="0" borderId="0" xfId="0" applyFont="1" applyAlignment="1">
      <alignment horizontal="right"/>
    </xf>
    <xf numFmtId="0" fontId="21" fillId="7" borderId="20" xfId="12" applyAlignment="1">
      <alignment horizontal="center"/>
    </xf>
    <xf numFmtId="0" fontId="0" fillId="7" borderId="20" xfId="12" applyFont="1"/>
    <xf numFmtId="2" fontId="0" fillId="0" borderId="0" xfId="0" applyNumberFormat="1"/>
    <xf numFmtId="0" fontId="8" fillId="0" borderId="0" xfId="0" applyFont="1" applyAlignment="1">
      <alignment horizontal="center"/>
    </xf>
    <xf numFmtId="10" fontId="0" fillId="0" borderId="0" xfId="0" applyNumberFormat="1"/>
    <xf numFmtId="0" fontId="13" fillId="0" borderId="0" xfId="0" applyFont="1" applyAlignment="1">
      <alignment horizontal="center"/>
    </xf>
    <xf numFmtId="0" fontId="0" fillId="0" borderId="0" xfId="0" applyAlignment="1">
      <alignment horizontal="center"/>
    </xf>
    <xf numFmtId="9" fontId="0" fillId="0" borderId="0" xfId="0" applyNumberFormat="1" applyAlignment="1">
      <alignment horizontal="center"/>
    </xf>
    <xf numFmtId="0" fontId="0" fillId="7" borderId="20" xfId="12" applyFont="1" applyAlignment="1">
      <alignment horizontal="center"/>
    </xf>
    <xf numFmtId="0" fontId="0" fillId="35" borderId="0" xfId="0" applyFill="1"/>
    <xf numFmtId="0" fontId="23" fillId="8" borderId="20" xfId="14" applyAlignment="1">
      <alignment horizontal="center" vertical="top" wrapText="1" readingOrder="1"/>
    </xf>
    <xf numFmtId="0" fontId="0" fillId="35" borderId="0" xfId="0" applyFill="1" applyAlignment="1">
      <alignment horizontal="left" vertical="center" indent="1"/>
    </xf>
    <xf numFmtId="0" fontId="8" fillId="0" borderId="0" xfId="0" applyFont="1"/>
    <xf numFmtId="0" fontId="7" fillId="35" borderId="0" xfId="0" applyFont="1" applyFill="1" applyAlignment="1">
      <alignment horizontal="center"/>
    </xf>
    <xf numFmtId="0" fontId="25" fillId="54" borderId="0" xfId="0" applyFont="1" applyFill="1" applyAlignment="1">
      <alignment horizontal="center"/>
    </xf>
    <xf numFmtId="0" fontId="13" fillId="0" borderId="0" xfId="0" applyFont="1" applyAlignment="1">
      <alignment horizontal="left" wrapText="1"/>
    </xf>
    <xf numFmtId="0" fontId="109" fillId="35" borderId="0" xfId="0" applyFont="1" applyFill="1"/>
    <xf numFmtId="0" fontId="46" fillId="54" borderId="0" xfId="0" applyFont="1" applyFill="1"/>
    <xf numFmtId="0" fontId="13" fillId="0" borderId="0" xfId="0" applyFont="1" applyAlignment="1">
      <alignment wrapText="1"/>
    </xf>
    <xf numFmtId="0" fontId="110" fillId="0" borderId="0" xfId="0" applyFont="1" applyAlignment="1">
      <alignment wrapText="1"/>
    </xf>
    <xf numFmtId="0" fontId="110" fillId="0" borderId="0" xfId="0" applyFont="1"/>
    <xf numFmtId="49" fontId="13" fillId="0" borderId="197" xfId="0" applyNumberFormat="1" applyFont="1" applyBorder="1" applyAlignment="1">
      <alignment vertical="top" wrapText="1"/>
    </xf>
    <xf numFmtId="49" fontId="13" fillId="3" borderId="186" xfId="0" applyNumberFormat="1" applyFont="1" applyFill="1" applyBorder="1" applyAlignment="1">
      <alignment vertical="top" wrapText="1"/>
    </xf>
    <xf numFmtId="49" fontId="13" fillId="0" borderId="198" xfId="0" applyNumberFormat="1" applyFont="1" applyBorder="1" applyAlignment="1">
      <alignment vertical="top" wrapText="1"/>
    </xf>
    <xf numFmtId="0" fontId="13" fillId="0" borderId="199" xfId="0" applyFont="1" applyBorder="1" applyAlignment="1">
      <alignment vertical="top" wrapText="1"/>
    </xf>
    <xf numFmtId="0" fontId="13" fillId="0" borderId="186" xfId="0" applyFont="1" applyBorder="1" applyAlignment="1">
      <alignment horizontal="left" vertical="top" wrapText="1"/>
    </xf>
    <xf numFmtId="0" fontId="13" fillId="0" borderId="184" xfId="0" applyFont="1" applyBorder="1" applyAlignment="1">
      <alignment vertical="top" wrapText="1"/>
    </xf>
    <xf numFmtId="0" fontId="27" fillId="45" borderId="184" xfId="0" applyFont="1" applyFill="1" applyBorder="1" applyAlignment="1">
      <alignment horizontal="center" vertical="top" wrapText="1"/>
    </xf>
    <xf numFmtId="0" fontId="13" fillId="0" borderId="185" xfId="0" applyFont="1" applyBorder="1" applyAlignment="1">
      <alignment vertical="top" wrapText="1"/>
    </xf>
    <xf numFmtId="0" fontId="13" fillId="0" borderId="186" xfId="0" applyFont="1" applyBorder="1" applyAlignment="1">
      <alignment vertical="top" wrapText="1"/>
    </xf>
    <xf numFmtId="0" fontId="13" fillId="0" borderId="187" xfId="0" applyFont="1" applyBorder="1" applyAlignment="1">
      <alignment vertical="top" wrapText="1"/>
    </xf>
    <xf numFmtId="0" fontId="13" fillId="0" borderId="200" xfId="0" applyFont="1" applyBorder="1" applyAlignment="1">
      <alignment vertical="top" wrapText="1"/>
    </xf>
    <xf numFmtId="49" fontId="13" fillId="0" borderId="201" xfId="0" applyNumberFormat="1" applyFont="1" applyBorder="1" applyAlignment="1">
      <alignment vertical="top" wrapText="1"/>
    </xf>
    <xf numFmtId="49" fontId="13" fillId="0" borderId="202" xfId="0" applyNumberFormat="1" applyFont="1" applyBorder="1" applyAlignment="1">
      <alignment vertical="top" wrapText="1"/>
    </xf>
    <xf numFmtId="49" fontId="13" fillId="3" borderId="203" xfId="0" applyNumberFormat="1" applyFont="1" applyFill="1" applyBorder="1" applyAlignment="1">
      <alignment vertical="top" wrapText="1"/>
    </xf>
    <xf numFmtId="0" fontId="13" fillId="0" borderId="204" xfId="0" applyFont="1" applyBorder="1" applyAlignment="1">
      <alignment vertical="top" wrapText="1"/>
    </xf>
    <xf numFmtId="0" fontId="13" fillId="0" borderId="202" xfId="0" applyFont="1" applyBorder="1" applyAlignment="1">
      <alignment vertical="top" wrapText="1"/>
    </xf>
    <xf numFmtId="0" fontId="13" fillId="0" borderId="205" xfId="0" applyFont="1" applyBorder="1" applyAlignment="1">
      <alignment vertical="top" wrapText="1"/>
    </xf>
    <xf numFmtId="0" fontId="13" fillId="46" borderId="205" xfId="0" applyFont="1" applyFill="1" applyBorder="1" applyAlignment="1">
      <alignment horizontal="center" vertical="top" wrapText="1"/>
    </xf>
    <xf numFmtId="0" fontId="13" fillId="0" borderId="206" xfId="0" applyFont="1" applyBorder="1" applyAlignment="1">
      <alignment vertical="top" wrapText="1"/>
    </xf>
    <xf numFmtId="0" fontId="13" fillId="0" borderId="207" xfId="0" applyFont="1" applyBorder="1" applyAlignment="1">
      <alignment vertical="top" wrapText="1"/>
    </xf>
    <xf numFmtId="0" fontId="13" fillId="0" borderId="208" xfId="0" applyFont="1" applyBorder="1" applyAlignment="1">
      <alignment vertical="top" wrapText="1"/>
    </xf>
    <xf numFmtId="0" fontId="30" fillId="0" borderId="0" xfId="0" applyFont="1"/>
    <xf numFmtId="0" fontId="13" fillId="0" borderId="201" xfId="0" applyFont="1" applyBorder="1" applyAlignment="1">
      <alignment vertical="top"/>
    </xf>
    <xf numFmtId="49" fontId="13" fillId="0" borderId="202" xfId="0" applyNumberFormat="1" applyFont="1" applyBorder="1" applyAlignment="1">
      <alignment vertical="top"/>
    </xf>
    <xf numFmtId="49" fontId="13" fillId="0" borderId="203" xfId="0" applyNumberFormat="1" applyFont="1" applyBorder="1" applyAlignment="1">
      <alignment vertical="top"/>
    </xf>
    <xf numFmtId="0" fontId="13" fillId="0" borderId="189" xfId="0" applyFont="1" applyBorder="1" applyAlignment="1">
      <alignment vertical="top"/>
    </xf>
    <xf numFmtId="49" fontId="13" fillId="0" borderId="190" xfId="0" applyNumberFormat="1" applyFont="1" applyBorder="1" applyAlignment="1">
      <alignment vertical="top"/>
    </xf>
    <xf numFmtId="49" fontId="13" fillId="0" borderId="191" xfId="0" applyNumberFormat="1" applyFont="1" applyBorder="1" applyAlignment="1">
      <alignment vertical="top"/>
    </xf>
    <xf numFmtId="0" fontId="13" fillId="0" borderId="192" xfId="0" applyFont="1" applyBorder="1" applyAlignment="1">
      <alignment vertical="top" wrapText="1"/>
    </xf>
    <xf numFmtId="0" fontId="13" fillId="0" borderId="190" xfId="0" applyFont="1" applyBorder="1" applyAlignment="1">
      <alignment vertical="top" wrapText="1"/>
    </xf>
    <xf numFmtId="0" fontId="13" fillId="0" borderId="193" xfId="0" applyFont="1" applyBorder="1" applyAlignment="1">
      <alignment vertical="top" wrapText="1"/>
    </xf>
    <xf numFmtId="0" fontId="13" fillId="0" borderId="194" xfId="0" applyFont="1" applyBorder="1" applyAlignment="1">
      <alignment vertical="top" wrapText="1"/>
    </xf>
    <xf numFmtId="0" fontId="13" fillId="0" borderId="195" xfId="0" applyFont="1" applyBorder="1" applyAlignment="1">
      <alignment vertical="top" wrapText="1"/>
    </xf>
    <xf numFmtId="0" fontId="13" fillId="0" borderId="209" xfId="0" applyFont="1" applyBorder="1" applyAlignment="1">
      <alignment vertical="top" wrapText="1"/>
    </xf>
    <xf numFmtId="0" fontId="7" fillId="3" borderId="185" xfId="0" applyFont="1" applyFill="1" applyBorder="1" applyAlignment="1">
      <alignment vertical="top"/>
    </xf>
    <xf numFmtId="49" fontId="7" fillId="3" borderId="186" xfId="0" applyNumberFormat="1" applyFont="1" applyFill="1" applyBorder="1" applyAlignment="1">
      <alignment horizontal="left" vertical="top"/>
    </xf>
    <xf numFmtId="49" fontId="7" fillId="3" borderId="186" xfId="0" applyNumberFormat="1" applyFont="1" applyFill="1" applyBorder="1" applyAlignment="1">
      <alignment horizontal="center" vertical="top"/>
    </xf>
    <xf numFmtId="0" fontId="7" fillId="3" borderId="186" xfId="0" applyFont="1" applyFill="1" applyBorder="1" applyAlignment="1">
      <alignment horizontal="left" vertical="top"/>
    </xf>
    <xf numFmtId="0" fontId="7" fillId="3" borderId="187" xfId="0" applyFont="1" applyFill="1" applyBorder="1" applyAlignment="1">
      <alignment horizontal="left" vertical="top"/>
    </xf>
    <xf numFmtId="0" fontId="13" fillId="3" borderId="206" xfId="0" applyFont="1" applyFill="1" applyBorder="1" applyAlignment="1">
      <alignment vertical="top" wrapText="1"/>
    </xf>
    <xf numFmtId="49" fontId="13" fillId="3" borderId="202" xfId="0" applyNumberFormat="1" applyFont="1" applyFill="1" applyBorder="1" applyAlignment="1">
      <alignment horizontal="left" vertical="top" wrapText="1"/>
    </xf>
    <xf numFmtId="14" fontId="13" fillId="3" borderId="202" xfId="0" applyNumberFormat="1" applyFont="1" applyFill="1" applyBorder="1" applyAlignment="1">
      <alignment vertical="top"/>
    </xf>
    <xf numFmtId="0" fontId="13" fillId="3" borderId="202" xfId="0" applyFont="1" applyFill="1" applyBorder="1" applyAlignment="1">
      <alignment vertical="top"/>
    </xf>
    <xf numFmtId="0" fontId="13" fillId="3" borderId="207" xfId="0" applyFont="1" applyFill="1" applyBorder="1" applyAlignment="1">
      <alignment vertical="top"/>
    </xf>
    <xf numFmtId="0" fontId="13" fillId="3" borderId="206" xfId="0" applyFont="1" applyFill="1" applyBorder="1" applyAlignment="1">
      <alignment vertical="top"/>
    </xf>
    <xf numFmtId="49" fontId="13" fillId="3" borderId="202" xfId="0" applyNumberFormat="1" applyFont="1" applyFill="1" applyBorder="1" applyAlignment="1">
      <alignment horizontal="left" vertical="top"/>
    </xf>
    <xf numFmtId="0" fontId="13" fillId="3" borderId="194" xfId="0" applyFont="1" applyFill="1" applyBorder="1" applyAlignment="1">
      <alignment vertical="top"/>
    </xf>
    <xf numFmtId="49" fontId="13" fillId="3" borderId="190" xfId="0" applyNumberFormat="1" applyFont="1" applyFill="1" applyBorder="1" applyAlignment="1">
      <alignment horizontal="left" vertical="top"/>
    </xf>
    <xf numFmtId="0" fontId="13" fillId="3" borderId="190" xfId="0" applyFont="1" applyFill="1" applyBorder="1" applyAlignment="1">
      <alignment vertical="top"/>
    </xf>
    <xf numFmtId="0" fontId="13" fillId="3" borderId="195" xfId="0" applyFont="1" applyFill="1" applyBorder="1" applyAlignment="1">
      <alignment vertical="top"/>
    </xf>
    <xf numFmtId="0" fontId="6" fillId="0" borderId="0" xfId="0" applyFont="1"/>
    <xf numFmtId="0" fontId="25" fillId="54" borderId="85" xfId="50" applyFont="1" applyFill="1" applyBorder="1"/>
    <xf numFmtId="0" fontId="25" fillId="54" borderId="86" xfId="50" applyFont="1" applyFill="1" applyBorder="1" applyAlignment="1">
      <alignment horizontal="center"/>
    </xf>
    <xf numFmtId="0" fontId="25" fillId="54" borderId="87" xfId="50" applyFont="1" applyFill="1" applyBorder="1" applyAlignment="1">
      <alignment horizontal="center"/>
    </xf>
    <xf numFmtId="0" fontId="25" fillId="54" borderId="88" xfId="50" applyFont="1" applyFill="1" applyBorder="1" applyAlignment="1">
      <alignment horizontal="center"/>
    </xf>
    <xf numFmtId="0" fontId="5" fillId="0" borderId="0" xfId="50" applyFont="1"/>
    <xf numFmtId="0" fontId="5" fillId="0" borderId="61" xfId="50" applyFont="1" applyBorder="1"/>
    <xf numFmtId="0" fontId="23" fillId="8" borderId="20" xfId="14" applyAlignment="1">
      <alignment horizontal="center"/>
    </xf>
    <xf numFmtId="0" fontId="5" fillId="0" borderId="55" xfId="50" applyFont="1" applyBorder="1"/>
    <xf numFmtId="0" fontId="5" fillId="0" borderId="57" xfId="50" applyFont="1" applyBorder="1"/>
    <xf numFmtId="0" fontId="5" fillId="0" borderId="56" xfId="50" applyFont="1" applyBorder="1"/>
    <xf numFmtId="0" fontId="5" fillId="0" borderId="58" xfId="50" applyFont="1" applyBorder="1"/>
    <xf numFmtId="0" fontId="5" fillId="0" borderId="60" xfId="50" applyFont="1" applyBorder="1"/>
    <xf numFmtId="0" fontId="5" fillId="0" borderId="59" xfId="50" applyFont="1" applyBorder="1"/>
    <xf numFmtId="0" fontId="0" fillId="0" borderId="49" xfId="0" applyBorder="1" applyAlignment="1">
      <alignment horizontal="center" textRotation="90" wrapText="1"/>
    </xf>
    <xf numFmtId="0" fontId="0" fillId="0" borderId="50" xfId="0" applyBorder="1" applyAlignment="1">
      <alignment horizontal="center"/>
    </xf>
    <xf numFmtId="0" fontId="0" fillId="0" borderId="14" xfId="0" applyBorder="1" applyAlignment="1">
      <alignment horizontal="center" textRotation="90" wrapText="1"/>
    </xf>
    <xf numFmtId="0" fontId="0" fillId="0" borderId="48" xfId="0" applyBorder="1"/>
    <xf numFmtId="0" fontId="0" fillId="0" borderId="12" xfId="0" applyBorder="1"/>
    <xf numFmtId="0" fontId="0" fillId="0" borderId="13" xfId="0" applyBorder="1"/>
    <xf numFmtId="0" fontId="0" fillId="0" borderId="32" xfId="0" applyBorder="1"/>
    <xf numFmtId="0" fontId="0" fillId="0" borderId="11" xfId="0" applyBorder="1" applyAlignment="1">
      <alignment horizontal="center"/>
    </xf>
    <xf numFmtId="0" fontId="0" fillId="0" borderId="28" xfId="0" applyBorder="1"/>
    <xf numFmtId="0" fontId="25" fillId="54" borderId="0" xfId="0" applyFont="1" applyFill="1" applyAlignment="1">
      <alignment horizontal="center" vertical="center" wrapText="1"/>
    </xf>
    <xf numFmtId="0" fontId="0" fillId="55" borderId="0" xfId="0" applyFill="1" applyAlignment="1">
      <alignment horizontal="center" vertical="center" wrapText="1"/>
    </xf>
    <xf numFmtId="0" fontId="55" fillId="50" borderId="66" xfId="2" applyFont="1" applyFill="1" applyBorder="1" applyAlignment="1">
      <alignment horizontal="center"/>
    </xf>
    <xf numFmtId="0" fontId="55" fillId="50" borderId="180" xfId="2" applyFont="1" applyFill="1" applyBorder="1"/>
    <xf numFmtId="0" fontId="55" fillId="50" borderId="76" xfId="2" applyFont="1" applyFill="1" applyBorder="1" applyAlignment="1">
      <alignment horizontal="center"/>
    </xf>
    <xf numFmtId="9" fontId="55" fillId="50" borderId="181" xfId="2" applyNumberFormat="1" applyFont="1" applyFill="1" applyBorder="1" applyAlignment="1">
      <alignment horizontal="center"/>
    </xf>
    <xf numFmtId="0" fontId="55" fillId="50" borderId="0" xfId="2" applyFont="1" applyFill="1" applyAlignment="1">
      <alignment horizontal="center"/>
    </xf>
    <xf numFmtId="0" fontId="55" fillId="50" borderId="15" xfId="2" applyFont="1" applyFill="1" applyBorder="1" applyAlignment="1">
      <alignment horizontal="center"/>
    </xf>
    <xf numFmtId="9" fontId="58" fillId="50" borderId="181" xfId="2" applyNumberFormat="1" applyFont="1" applyFill="1" applyBorder="1" applyAlignment="1">
      <alignment horizontal="center"/>
    </xf>
    <xf numFmtId="0" fontId="58" fillId="50" borderId="0" xfId="2" applyFont="1" applyFill="1" applyAlignment="1">
      <alignment horizontal="center"/>
    </xf>
    <xf numFmtId="0" fontId="58" fillId="50" borderId="15" xfId="2" applyFont="1" applyFill="1" applyBorder="1" applyAlignment="1">
      <alignment horizontal="center"/>
    </xf>
    <xf numFmtId="9" fontId="55" fillId="50" borderId="182" xfId="2" applyNumberFormat="1" applyFont="1" applyFill="1" applyBorder="1" applyAlignment="1">
      <alignment horizontal="center"/>
    </xf>
    <xf numFmtId="0" fontId="55" fillId="50" borderId="32" xfId="2" applyFont="1" applyFill="1" applyBorder="1" applyAlignment="1">
      <alignment horizontal="center"/>
    </xf>
    <xf numFmtId="0" fontId="55" fillId="50" borderId="16" xfId="2" applyFont="1" applyFill="1" applyBorder="1" applyAlignment="1">
      <alignment horizontal="center"/>
    </xf>
    <xf numFmtId="0" fontId="48" fillId="0" borderId="4" xfId="0" applyFont="1" applyBorder="1" applyAlignment="1">
      <alignment horizontal="left"/>
    </xf>
    <xf numFmtId="0" fontId="43" fillId="0" borderId="0" xfId="0" applyFont="1" applyAlignment="1">
      <alignment horizontal="center"/>
    </xf>
    <xf numFmtId="0" fontId="25" fillId="56" borderId="91" xfId="0" applyFont="1" applyFill="1" applyBorder="1" applyAlignment="1">
      <alignment horizontal="center" vertical="center"/>
    </xf>
    <xf numFmtId="0" fontId="25" fillId="56" borderId="53" xfId="0" applyFont="1" applyFill="1" applyBorder="1" applyAlignment="1">
      <alignment horizontal="center" vertical="center"/>
    </xf>
    <xf numFmtId="0" fontId="25" fillId="56" borderId="54" xfId="0" applyFont="1" applyFill="1" applyBorder="1" applyAlignment="1">
      <alignment horizontal="center" vertical="center"/>
    </xf>
    <xf numFmtId="0" fontId="25" fillId="54" borderId="57" xfId="0" applyFont="1" applyFill="1" applyBorder="1" applyAlignment="1">
      <alignment horizontal="left" vertical="top"/>
    </xf>
    <xf numFmtId="0" fontId="30" fillId="58" borderId="63" xfId="0" applyFont="1" applyFill="1" applyBorder="1" applyAlignment="1">
      <alignment horizontal="left" vertical="top"/>
    </xf>
    <xf numFmtId="0" fontId="30" fillId="58" borderId="57" xfId="0" applyFont="1" applyFill="1" applyBorder="1" applyAlignment="1">
      <alignment horizontal="left" vertical="top"/>
    </xf>
    <xf numFmtId="0" fontId="30" fillId="58" borderId="57" xfId="0" applyFont="1" applyFill="1" applyBorder="1" applyAlignment="1">
      <alignment horizontal="left" vertical="top" indent="2"/>
    </xf>
    <xf numFmtId="0" fontId="30" fillId="58" borderId="65" xfId="0" applyFont="1" applyFill="1" applyBorder="1" applyAlignment="1">
      <alignment horizontal="left" vertical="top"/>
    </xf>
    <xf numFmtId="0" fontId="41" fillId="54" borderId="0" xfId="0" applyFont="1" applyFill="1"/>
    <xf numFmtId="0" fontId="48" fillId="54" borderId="0" xfId="0" applyFont="1" applyFill="1"/>
    <xf numFmtId="0" fontId="47" fillId="54" borderId="0" xfId="0" applyFont="1" applyFill="1"/>
    <xf numFmtId="0" fontId="47" fillId="37" borderId="0" xfId="0" applyFont="1" applyFill="1"/>
    <xf numFmtId="0" fontId="48" fillId="37" borderId="0" xfId="0" applyFont="1" applyFill="1" applyAlignment="1">
      <alignment vertical="center"/>
    </xf>
    <xf numFmtId="0" fontId="48" fillId="37" borderId="0" xfId="0" applyFont="1" applyFill="1"/>
    <xf numFmtId="0" fontId="48" fillId="37" borderId="0" xfId="0" applyFont="1" applyFill="1" applyAlignment="1">
      <alignment wrapText="1"/>
    </xf>
    <xf numFmtId="0" fontId="111" fillId="54" borderId="0" xfId="0" applyFont="1" applyFill="1"/>
    <xf numFmtId="16" fontId="1" fillId="2" borderId="0" xfId="0" applyNumberFormat="1" applyFont="1" applyFill="1" applyAlignment="1">
      <alignment horizontal="left" vertical="center"/>
    </xf>
    <xf numFmtId="0" fontId="1" fillId="35" borderId="107" xfId="0" applyFont="1" applyFill="1" applyBorder="1" applyAlignment="1">
      <alignment horizontal="left" vertical="top" wrapText="1"/>
    </xf>
    <xf numFmtId="0" fontId="1" fillId="35" borderId="104" xfId="0" applyFont="1" applyFill="1" applyBorder="1" applyAlignment="1">
      <alignment horizontal="center" vertical="top" wrapText="1"/>
    </xf>
    <xf numFmtId="0" fontId="1" fillId="35" borderId="107" xfId="0" applyFont="1" applyFill="1" applyBorder="1" applyAlignment="1">
      <alignment horizontal="center" vertical="top"/>
    </xf>
    <xf numFmtId="0" fontId="0" fillId="0" borderId="0" xfId="0" applyAlignment="1">
      <alignment vertical="top"/>
    </xf>
    <xf numFmtId="0" fontId="0" fillId="0" borderId="0" xfId="0" applyAlignment="1">
      <alignment vertical="top" wrapText="1"/>
    </xf>
    <xf numFmtId="0" fontId="113" fillId="0" borderId="0" xfId="0" applyFont="1" applyAlignment="1">
      <alignment horizontal="center" vertical="top"/>
    </xf>
    <xf numFmtId="0" fontId="113" fillId="50" borderId="0" xfId="0" applyFont="1" applyFill="1" applyAlignment="1">
      <alignment horizontal="center" vertical="top" wrapText="1"/>
    </xf>
    <xf numFmtId="0" fontId="112" fillId="0" borderId="0" xfId="0" applyFont="1" applyAlignment="1">
      <alignment horizontal="center" vertical="top"/>
    </xf>
    <xf numFmtId="0" fontId="115" fillId="0" borderId="0" xfId="0" applyFont="1" applyAlignment="1">
      <alignment horizontal="center" vertical="top"/>
    </xf>
    <xf numFmtId="0" fontId="115" fillId="0" borderId="0" xfId="0" applyFont="1" applyAlignment="1">
      <alignment vertical="top"/>
    </xf>
    <xf numFmtId="0" fontId="113" fillId="0" borderId="0" xfId="0" applyFont="1" applyAlignment="1">
      <alignment horizontal="center" vertical="top" wrapText="1"/>
    </xf>
    <xf numFmtId="0" fontId="0" fillId="0" borderId="10" xfId="0" applyBorder="1" applyAlignment="1">
      <alignment vertical="top" wrapText="1"/>
    </xf>
    <xf numFmtId="0" fontId="0" fillId="0" borderId="9" xfId="0" applyBorder="1" applyAlignment="1">
      <alignment vertical="top" wrapText="1"/>
    </xf>
    <xf numFmtId="0" fontId="0" fillId="0" borderId="8" xfId="0" applyBorder="1" applyAlignment="1">
      <alignment vertical="top" wrapText="1"/>
    </xf>
    <xf numFmtId="0" fontId="0" fillId="0" borderId="7" xfId="0" applyBorder="1" applyAlignment="1">
      <alignment vertical="top" wrapText="1"/>
    </xf>
    <xf numFmtId="0" fontId="0" fillId="0" borderId="6" xfId="0" applyBorder="1" applyAlignment="1">
      <alignment vertical="top" wrapText="1"/>
    </xf>
    <xf numFmtId="0" fontId="0" fillId="0" borderId="5" xfId="0" applyBorder="1" applyAlignment="1">
      <alignment vertical="top" wrapText="1"/>
    </xf>
    <xf numFmtId="0" fontId="0" fillId="0" borderId="4" xfId="0" applyBorder="1" applyAlignment="1">
      <alignment vertical="top" wrapText="1"/>
    </xf>
    <xf numFmtId="0" fontId="0" fillId="0" borderId="3" xfId="0" applyBorder="1" applyAlignment="1">
      <alignment vertical="top" wrapText="1"/>
    </xf>
    <xf numFmtId="0" fontId="0" fillId="0" borderId="10" xfId="0" applyBorder="1" applyAlignment="1">
      <alignment horizontal="left" vertical="top" wrapText="1"/>
    </xf>
    <xf numFmtId="0" fontId="0" fillId="0" borderId="7" xfId="0" applyBorder="1" applyAlignment="1">
      <alignment horizontal="left" vertical="top" wrapText="1"/>
    </xf>
    <xf numFmtId="0" fontId="0" fillId="0" borderId="5" xfId="0" applyBorder="1" applyAlignment="1">
      <alignment horizontal="left" vertical="top" wrapText="1"/>
    </xf>
    <xf numFmtId="0" fontId="0" fillId="0" borderId="6" xfId="0" applyBorder="1" applyAlignment="1">
      <alignment vertical="top"/>
    </xf>
    <xf numFmtId="0" fontId="62" fillId="50" borderId="113" xfId="0" applyFont="1" applyFill="1" applyBorder="1" applyAlignment="1">
      <alignment horizontal="center" vertical="top" wrapText="1"/>
    </xf>
    <xf numFmtId="0" fontId="75" fillId="43" borderId="119" xfId="0" applyFont="1" applyFill="1" applyBorder="1" applyAlignment="1">
      <alignment vertical="center" wrapText="1"/>
    </xf>
    <xf numFmtId="0" fontId="7" fillId="0" borderId="0" xfId="0" applyFont="1" applyAlignment="1">
      <alignment vertical="top"/>
    </xf>
    <xf numFmtId="0" fontId="0" fillId="0" borderId="0" xfId="0" quotePrefix="1" applyAlignment="1">
      <alignment vertical="top"/>
    </xf>
    <xf numFmtId="0" fontId="7" fillId="3" borderId="0" xfId="0" applyFont="1" applyFill="1" applyAlignment="1">
      <alignment vertical="top"/>
    </xf>
    <xf numFmtId="0" fontId="7" fillId="3" borderId="4" xfId="0" applyFont="1" applyFill="1" applyBorder="1" applyAlignment="1">
      <alignment vertical="top"/>
    </xf>
    <xf numFmtId="0" fontId="7" fillId="3" borderId="4" xfId="0" applyFont="1" applyFill="1" applyBorder="1" applyAlignment="1">
      <alignment horizontal="center" vertical="top"/>
    </xf>
    <xf numFmtId="0" fontId="7" fillId="3" borderId="6" xfId="0" applyFont="1" applyFill="1" applyBorder="1" applyAlignment="1">
      <alignment vertical="top"/>
    </xf>
    <xf numFmtId="0" fontId="7" fillId="3" borderId="3" xfId="0" applyFont="1" applyFill="1" applyBorder="1" applyAlignment="1">
      <alignment vertical="top"/>
    </xf>
    <xf numFmtId="0" fontId="7" fillId="3" borderId="0" xfId="0" applyFont="1" applyFill="1" applyAlignment="1">
      <alignment vertical="top" wrapText="1"/>
    </xf>
    <xf numFmtId="0" fontId="7" fillId="3" borderId="4" xfId="0" applyFont="1" applyFill="1" applyBorder="1" applyAlignment="1">
      <alignment vertical="top" wrapText="1"/>
    </xf>
    <xf numFmtId="0" fontId="7" fillId="3" borderId="5" xfId="0" applyFont="1" applyFill="1" applyBorder="1" applyAlignment="1">
      <alignment horizontal="center" vertical="top"/>
    </xf>
    <xf numFmtId="0" fontId="0" fillId="0" borderId="7" xfId="0" applyBorder="1" applyAlignment="1">
      <alignment horizontal="center" vertical="top"/>
    </xf>
    <xf numFmtId="0" fontId="43" fillId="3" borderId="247" xfId="0" applyFont="1" applyFill="1" applyBorder="1" applyAlignment="1">
      <alignment horizontal="left" vertical="top" wrapText="1"/>
    </xf>
    <xf numFmtId="0" fontId="43" fillId="3" borderId="62" xfId="0" applyFont="1" applyFill="1" applyBorder="1" applyAlignment="1">
      <alignment horizontal="left" vertical="top" wrapText="1"/>
    </xf>
    <xf numFmtId="0" fontId="43" fillId="3" borderId="248" xfId="0" applyFont="1" applyFill="1" applyBorder="1" applyAlignment="1">
      <alignment horizontal="left" vertical="top" wrapText="1"/>
    </xf>
    <xf numFmtId="0" fontId="42" fillId="0" borderId="249" xfId="0" applyFont="1" applyBorder="1" applyAlignment="1">
      <alignment horizontal="left" vertical="top" wrapText="1"/>
    </xf>
    <xf numFmtId="0" fontId="7" fillId="3" borderId="253" xfId="0" applyFont="1" applyFill="1" applyBorder="1" applyAlignment="1">
      <alignment horizontal="left" vertical="top" wrapText="1"/>
    </xf>
    <xf numFmtId="14" fontId="7" fillId="3" borderId="254" xfId="0" applyNumberFormat="1" applyFont="1" applyFill="1" applyBorder="1" applyAlignment="1">
      <alignment horizontal="left" vertical="top" wrapText="1"/>
    </xf>
    <xf numFmtId="49" fontId="7" fillId="3" borderId="254" xfId="0" applyNumberFormat="1" applyFont="1" applyFill="1" applyBorder="1" applyAlignment="1">
      <alignment horizontal="left" vertical="top" wrapText="1"/>
    </xf>
    <xf numFmtId="0" fontId="7" fillId="3" borderId="254" xfId="0" applyFont="1" applyFill="1" applyBorder="1" applyAlignment="1">
      <alignment horizontal="left" vertical="top" wrapText="1"/>
    </xf>
    <xf numFmtId="0" fontId="7" fillId="3" borderId="255" xfId="0" applyFont="1" applyFill="1" applyBorder="1" applyAlignment="1">
      <alignment horizontal="left" vertical="top" wrapText="1"/>
    </xf>
    <xf numFmtId="14" fontId="7" fillId="3" borderId="257" xfId="0" applyNumberFormat="1" applyFont="1" applyFill="1" applyBorder="1" applyAlignment="1">
      <alignment horizontal="left" vertical="top" wrapText="1"/>
    </xf>
    <xf numFmtId="0" fontId="1" fillId="0" borderId="0" xfId="0" applyFont="1" applyAlignment="1">
      <alignment horizontal="left" vertical="top"/>
    </xf>
    <xf numFmtId="0" fontId="0" fillId="37" borderId="0" xfId="0" applyFill="1" applyAlignment="1">
      <alignment horizontal="left" vertical="top" wrapText="1"/>
    </xf>
    <xf numFmtId="0" fontId="0" fillId="37" borderId="0" xfId="0" applyFill="1"/>
    <xf numFmtId="0" fontId="117" fillId="8" borderId="256" xfId="54" applyFont="1" applyBorder="1" applyAlignment="1">
      <alignment horizontal="center" vertical="top" wrapText="1"/>
    </xf>
    <xf numFmtId="14" fontId="0" fillId="0" borderId="52" xfId="0" applyNumberFormat="1" applyBorder="1" applyAlignment="1">
      <alignment horizontal="left" vertical="top"/>
    </xf>
    <xf numFmtId="14" fontId="0" fillId="0" borderId="53" xfId="0" applyNumberFormat="1" applyBorder="1" applyAlignment="1">
      <alignment horizontal="left" vertical="top"/>
    </xf>
    <xf numFmtId="49" fontId="0" fillId="0" borderId="53" xfId="0" applyNumberFormat="1" applyBorder="1" applyAlignment="1">
      <alignment horizontal="left" vertical="top" wrapText="1"/>
    </xf>
    <xf numFmtId="49" fontId="0" fillId="0" borderId="260" xfId="0" applyNumberFormat="1" applyBorder="1" applyAlignment="1">
      <alignment horizontal="left" vertical="top" wrapText="1"/>
    </xf>
    <xf numFmtId="14" fontId="0" fillId="0" borderId="260" xfId="0" applyNumberFormat="1" applyBorder="1" applyAlignment="1">
      <alignment horizontal="left" vertical="top"/>
    </xf>
    <xf numFmtId="14" fontId="0" fillId="0" borderId="261" xfId="0" applyNumberFormat="1" applyBorder="1" applyAlignment="1">
      <alignment horizontal="left" vertical="top"/>
    </xf>
    <xf numFmtId="14" fontId="0" fillId="0" borderId="55" xfId="0" applyNumberFormat="1" applyBorder="1" applyAlignment="1">
      <alignment horizontal="left" vertical="top"/>
    </xf>
    <xf numFmtId="14" fontId="0" fillId="0" borderId="56" xfId="0" applyNumberFormat="1" applyBorder="1" applyAlignment="1">
      <alignment horizontal="left" vertical="top"/>
    </xf>
    <xf numFmtId="49" fontId="0" fillId="0" borderId="56" xfId="0" applyNumberFormat="1" applyBorder="1" applyAlignment="1">
      <alignment horizontal="left" vertical="top" wrapText="1"/>
    </xf>
    <xf numFmtId="49" fontId="0" fillId="0" borderId="262" xfId="0" applyNumberFormat="1" applyBorder="1" applyAlignment="1">
      <alignment horizontal="left" vertical="top" wrapText="1"/>
    </xf>
    <xf numFmtId="14" fontId="0" fillId="0" borderId="262" xfId="0" applyNumberFormat="1" applyBorder="1" applyAlignment="1">
      <alignment horizontal="left" vertical="top"/>
    </xf>
    <xf numFmtId="14" fontId="0" fillId="0" borderId="263" xfId="0" applyNumberFormat="1" applyBorder="1" applyAlignment="1">
      <alignment horizontal="left" vertical="top"/>
    </xf>
    <xf numFmtId="14" fontId="0" fillId="3" borderId="253" xfId="0" applyNumberFormat="1" applyFill="1" applyBorder="1" applyAlignment="1">
      <alignment horizontal="center" vertical="top" wrapText="1"/>
    </xf>
    <xf numFmtId="14" fontId="0" fillId="3" borderId="254" xfId="0" applyNumberFormat="1" applyFill="1" applyBorder="1" applyAlignment="1">
      <alignment horizontal="center" vertical="top" wrapText="1"/>
    </xf>
    <xf numFmtId="14" fontId="7" fillId="3" borderId="266" xfId="0" applyNumberFormat="1" applyFont="1" applyFill="1" applyBorder="1" applyAlignment="1">
      <alignment horizontal="center" vertical="top" wrapText="1"/>
    </xf>
    <xf numFmtId="0" fontId="48" fillId="0" borderId="153" xfId="0" applyFont="1" applyBorder="1" applyAlignment="1">
      <alignment horizontal="left" indent="2"/>
    </xf>
    <xf numFmtId="49" fontId="70" fillId="0" borderId="154" xfId="0" applyNumberFormat="1" applyFont="1" applyBorder="1"/>
    <xf numFmtId="49" fontId="43" fillId="0" borderId="155" xfId="0" applyNumberFormat="1" applyFont="1" applyBorder="1"/>
    <xf numFmtId="172" fontId="43" fillId="0" borderId="154" xfId="0" applyNumberFormat="1" applyFont="1" applyBorder="1"/>
    <xf numFmtId="172" fontId="43" fillId="0" borderId="156" xfId="0" applyNumberFormat="1" applyFont="1" applyBorder="1"/>
    <xf numFmtId="172" fontId="43" fillId="0" borderId="131" xfId="0" applyNumberFormat="1" applyFont="1" applyBorder="1"/>
    <xf numFmtId="172" fontId="43" fillId="0" borderId="157" xfId="0" applyNumberFormat="1" applyFont="1" applyBorder="1"/>
    <xf numFmtId="172" fontId="43" fillId="0" borderId="158" xfId="0" applyNumberFormat="1" applyFont="1" applyBorder="1"/>
    <xf numFmtId="172" fontId="43" fillId="0" borderId="159" xfId="0" applyNumberFormat="1" applyFont="1" applyBorder="1"/>
    <xf numFmtId="172" fontId="43" fillId="0" borderId="160" xfId="0" applyNumberFormat="1" applyFont="1" applyBorder="1"/>
    <xf numFmtId="172" fontId="43" fillId="0" borderId="155" xfId="0" applyNumberFormat="1" applyFont="1" applyBorder="1"/>
    <xf numFmtId="0" fontId="48" fillId="0" borderId="146" xfId="0" applyFont="1" applyBorder="1" applyAlignment="1">
      <alignment horizontal="left" indent="2"/>
    </xf>
    <xf numFmtId="49" fontId="70" fillId="0" borderId="147" xfId="0" applyNumberFormat="1" applyFont="1" applyBorder="1"/>
    <xf numFmtId="49" fontId="43" fillId="0" borderId="148" xfId="0" applyNumberFormat="1" applyFont="1" applyBorder="1"/>
    <xf numFmtId="172" fontId="43" fillId="0" borderId="147" xfId="0" applyNumberFormat="1" applyFont="1" applyBorder="1"/>
    <xf numFmtId="172" fontId="43" fillId="0" borderId="149" xfId="0" applyNumberFormat="1" applyFont="1" applyBorder="1"/>
    <xf numFmtId="172" fontId="43" fillId="0" borderId="114" xfId="0" applyNumberFormat="1" applyFont="1" applyBorder="1"/>
    <xf numFmtId="172" fontId="43" fillId="0" borderId="150" xfId="0" applyNumberFormat="1" applyFont="1" applyBorder="1"/>
    <xf numFmtId="172" fontId="43" fillId="0" borderId="151" xfId="0" applyNumberFormat="1" applyFont="1" applyBorder="1"/>
    <xf numFmtId="172" fontId="43" fillId="0" borderId="115" xfId="0" applyNumberFormat="1" applyFont="1" applyBorder="1"/>
    <xf numFmtId="172" fontId="43" fillId="0" borderId="148" xfId="0" applyNumberFormat="1" applyFont="1" applyBorder="1"/>
    <xf numFmtId="0" fontId="41" fillId="60" borderId="48" xfId="0" applyFont="1" applyFill="1" applyBorder="1"/>
    <xf numFmtId="0" fontId="41" fillId="61" borderId="48" xfId="0" applyFont="1" applyFill="1" applyBorder="1"/>
    <xf numFmtId="0" fontId="48" fillId="63" borderId="48" xfId="0" applyFont="1" applyFill="1" applyBorder="1"/>
    <xf numFmtId="0" fontId="41" fillId="62" borderId="48" xfId="0" applyFont="1" applyFill="1" applyBorder="1"/>
    <xf numFmtId="0" fontId="48" fillId="64" borderId="48" xfId="0" applyFont="1" applyFill="1" applyBorder="1"/>
    <xf numFmtId="172" fontId="43" fillId="3" borderId="156" xfId="0" applyNumberFormat="1" applyFont="1" applyFill="1" applyBorder="1"/>
    <xf numFmtId="172" fontId="43" fillId="3" borderId="159" xfId="0" applyNumberFormat="1" applyFont="1" applyFill="1" applyBorder="1"/>
    <xf numFmtId="172" fontId="43" fillId="37" borderId="115" xfId="0" applyNumberFormat="1" applyFont="1" applyFill="1" applyBorder="1"/>
    <xf numFmtId="172" fontId="43" fillId="37" borderId="149" xfId="0" applyNumberFormat="1" applyFont="1" applyFill="1" applyBorder="1"/>
    <xf numFmtId="172" fontId="43" fillId="3" borderId="151" xfId="0" applyNumberFormat="1" applyFont="1" applyFill="1" applyBorder="1"/>
    <xf numFmtId="0" fontId="1" fillId="0" borderId="1" xfId="0" applyFont="1" applyBorder="1"/>
    <xf numFmtId="0" fontId="1" fillId="0" borderId="0" xfId="0" applyFont="1"/>
    <xf numFmtId="0" fontId="66" fillId="3" borderId="14" xfId="50" applyFont="1" applyFill="1" applyBorder="1" applyAlignment="1">
      <alignment horizontal="center" vertical="center" wrapText="1"/>
    </xf>
    <xf numFmtId="0" fontId="75" fillId="54" borderId="1" xfId="0" applyFont="1" applyFill="1" applyBorder="1" applyAlignment="1">
      <alignment horizontal="center" vertical="center" wrapText="1" readingOrder="1"/>
    </xf>
    <xf numFmtId="0" fontId="0" fillId="35" borderId="0" xfId="0" applyFill="1" applyAlignment="1">
      <alignment horizontal="left" vertical="top"/>
    </xf>
    <xf numFmtId="0" fontId="119" fillId="0" borderId="1" xfId="0" applyFont="1" applyBorder="1" applyAlignment="1">
      <alignment horizontal="left" vertical="top" wrapText="1"/>
    </xf>
    <xf numFmtId="0" fontId="120" fillId="0" borderId="1" xfId="0" applyFont="1" applyBorder="1" applyAlignment="1">
      <alignment horizontal="center" vertical="top" wrapText="1"/>
    </xf>
    <xf numFmtId="0" fontId="47" fillId="0" borderId="1" xfId="0" applyFont="1" applyBorder="1" applyAlignment="1">
      <alignment horizontal="left" vertical="top" wrapText="1"/>
    </xf>
    <xf numFmtId="0" fontId="121" fillId="0" borderId="1" xfId="0" applyFont="1" applyBorder="1" applyAlignment="1">
      <alignment horizontal="left" vertical="top" wrapText="1"/>
    </xf>
    <xf numFmtId="0" fontId="47" fillId="0" borderId="1" xfId="0" applyFont="1" applyBorder="1" applyAlignment="1">
      <alignment horizontal="center" vertical="top" wrapText="1"/>
    </xf>
    <xf numFmtId="0" fontId="120" fillId="0" borderId="1" xfId="0" applyFont="1" applyBorder="1" applyAlignment="1">
      <alignment horizontal="left" vertical="top" wrapText="1"/>
    </xf>
    <xf numFmtId="0" fontId="112" fillId="39" borderId="0" xfId="53" applyFont="1" applyFill="1"/>
    <xf numFmtId="0" fontId="122" fillId="39" borderId="0" xfId="53" applyFont="1" applyFill="1"/>
    <xf numFmtId="0" fontId="123" fillId="39" borderId="0" xfId="53" applyFont="1" applyFill="1"/>
    <xf numFmtId="0" fontId="122" fillId="0" borderId="0" xfId="53" applyFont="1"/>
    <xf numFmtId="0" fontId="117" fillId="3" borderId="27" xfId="53" applyFont="1" applyFill="1" applyBorder="1" applyAlignment="1">
      <alignment horizontal="center"/>
    </xf>
    <xf numFmtId="0" fontId="122" fillId="3" borderId="29" xfId="53" applyFont="1" applyFill="1" applyBorder="1"/>
    <xf numFmtId="0" fontId="117" fillId="3" borderId="30" xfId="53" applyFont="1" applyFill="1" applyBorder="1" applyAlignment="1">
      <alignment horizontal="center"/>
    </xf>
    <xf numFmtId="0" fontId="117" fillId="3" borderId="15" xfId="53" applyFont="1" applyFill="1" applyBorder="1" applyAlignment="1">
      <alignment horizontal="center"/>
    </xf>
    <xf numFmtId="0" fontId="117" fillId="3" borderId="74" xfId="53" applyFont="1" applyFill="1" applyBorder="1" applyAlignment="1">
      <alignment horizontal="center"/>
    </xf>
    <xf numFmtId="0" fontId="117" fillId="3" borderId="75" xfId="53" applyFont="1" applyFill="1" applyBorder="1" applyAlignment="1">
      <alignment horizontal="center"/>
    </xf>
    <xf numFmtId="0" fontId="117" fillId="3" borderId="29" xfId="53" applyFont="1" applyFill="1" applyBorder="1" applyAlignment="1">
      <alignment horizontal="center"/>
    </xf>
    <xf numFmtId="0" fontId="117" fillId="0" borderId="48" xfId="53" applyFont="1" applyBorder="1" applyAlignment="1">
      <alignment horizontal="center"/>
    </xf>
    <xf numFmtId="0" fontId="117" fillId="0" borderId="27" xfId="53" applyFont="1" applyBorder="1"/>
    <xf numFmtId="0" fontId="117" fillId="39" borderId="66" xfId="53" applyFont="1" applyFill="1" applyBorder="1"/>
    <xf numFmtId="0" fontId="117" fillId="39" borderId="67" xfId="53" applyFont="1" applyFill="1" applyBorder="1"/>
    <xf numFmtId="0" fontId="117" fillId="39" borderId="68" xfId="53" applyFont="1" applyFill="1" applyBorder="1"/>
    <xf numFmtId="0" fontId="117" fillId="0" borderId="76" xfId="53" applyFont="1" applyBorder="1"/>
    <xf numFmtId="0" fontId="117" fillId="0" borderId="0" xfId="53" applyFont="1"/>
    <xf numFmtId="0" fontId="117" fillId="0" borderId="12" xfId="53" applyFont="1" applyBorder="1" applyAlignment="1">
      <alignment horizontal="center"/>
    </xf>
    <xf numFmtId="0" fontId="122" fillId="0" borderId="30" xfId="53" applyFont="1" applyBorder="1"/>
    <xf numFmtId="0" fontId="122" fillId="0" borderId="69" xfId="53" applyFont="1" applyBorder="1" applyAlignment="1">
      <alignment horizontal="center"/>
    </xf>
    <xf numFmtId="0" fontId="122" fillId="0" borderId="1" xfId="53" applyFont="1" applyBorder="1" applyAlignment="1">
      <alignment horizontal="center"/>
    </xf>
    <xf numFmtId="0" fontId="122" fillId="0" borderId="70" xfId="53" applyFont="1" applyBorder="1" applyAlignment="1">
      <alignment horizontal="center"/>
    </xf>
    <xf numFmtId="0" fontId="122" fillId="0" borderId="77" xfId="53" applyFont="1" applyBorder="1"/>
    <xf numFmtId="0" fontId="124" fillId="0" borderId="12" xfId="53" applyFont="1" applyBorder="1" applyAlignment="1">
      <alignment horizontal="center"/>
    </xf>
    <xf numFmtId="0" fontId="122" fillId="0" borderId="78" xfId="53" applyFont="1" applyBorder="1" applyAlignment="1">
      <alignment horizontal="center"/>
    </xf>
    <xf numFmtId="0" fontId="122" fillId="0" borderId="34" xfId="53" applyFont="1" applyBorder="1" applyAlignment="1">
      <alignment horizontal="center"/>
    </xf>
    <xf numFmtId="0" fontId="122" fillId="0" borderId="79" xfId="53" applyFont="1" applyBorder="1" applyAlignment="1">
      <alignment horizontal="center"/>
    </xf>
    <xf numFmtId="0" fontId="122" fillId="0" borderId="80" xfId="53" applyFont="1" applyBorder="1"/>
    <xf numFmtId="0" fontId="117" fillId="0" borderId="13" xfId="53" applyFont="1" applyBorder="1" applyAlignment="1">
      <alignment horizontal="center"/>
    </xf>
    <xf numFmtId="0" fontId="122" fillId="0" borderId="13" xfId="53" applyFont="1" applyBorder="1"/>
    <xf numFmtId="0" fontId="122" fillId="0" borderId="71" xfId="53" applyFont="1" applyBorder="1" applyAlignment="1">
      <alignment horizontal="center"/>
    </xf>
    <xf numFmtId="0" fontId="122" fillId="0" borderId="51" xfId="53" applyFont="1" applyBorder="1" applyAlignment="1">
      <alignment horizontal="center"/>
    </xf>
    <xf numFmtId="0" fontId="122" fillId="0" borderId="72" xfId="53" applyFont="1" applyBorder="1" applyAlignment="1">
      <alignment horizontal="center"/>
    </xf>
    <xf numFmtId="0" fontId="122" fillId="0" borderId="16" xfId="53" applyFont="1" applyBorder="1"/>
    <xf numFmtId="0" fontId="117" fillId="39" borderId="66" xfId="53" applyFont="1" applyFill="1" applyBorder="1" applyAlignment="1">
      <alignment horizontal="center"/>
    </xf>
    <xf numFmtId="0" fontId="117" fillId="39" borderId="67" xfId="53" applyFont="1" applyFill="1" applyBorder="1" applyAlignment="1">
      <alignment horizontal="center"/>
    </xf>
    <xf numFmtId="0" fontId="117" fillId="39" borderId="68" xfId="53" applyFont="1" applyFill="1" applyBorder="1" applyAlignment="1">
      <alignment horizontal="center"/>
    </xf>
    <xf numFmtId="0" fontId="122" fillId="0" borderId="31" xfId="53" applyFont="1" applyBorder="1"/>
    <xf numFmtId="0" fontId="122" fillId="0" borderId="12" xfId="53" applyFont="1" applyBorder="1"/>
    <xf numFmtId="0" fontId="117" fillId="0" borderId="27" xfId="53" applyFont="1" applyBorder="1" applyAlignment="1">
      <alignment horizontal="center"/>
    </xf>
    <xf numFmtId="0" fontId="122" fillId="0" borderId="48" xfId="53" applyFont="1" applyBorder="1"/>
    <xf numFmtId="0" fontId="122" fillId="0" borderId="28" xfId="53" applyFont="1" applyBorder="1" applyAlignment="1">
      <alignment horizontal="center"/>
    </xf>
    <xf numFmtId="0" fontId="122" fillId="0" borderId="81" xfId="53" applyFont="1" applyBorder="1" applyAlignment="1">
      <alignment horizontal="center"/>
    </xf>
    <xf numFmtId="0" fontId="122" fillId="0" borderId="82" xfId="53" applyFont="1" applyBorder="1" applyAlignment="1">
      <alignment horizontal="center"/>
    </xf>
    <xf numFmtId="0" fontId="117" fillId="0" borderId="30" xfId="53" applyFont="1" applyBorder="1" applyAlignment="1">
      <alignment horizontal="center"/>
    </xf>
    <xf numFmtId="0" fontId="122" fillId="0" borderId="0" xfId="53" applyFont="1" applyAlignment="1">
      <alignment horizontal="center"/>
    </xf>
    <xf numFmtId="0" fontId="117" fillId="0" borderId="31" xfId="53" applyFont="1" applyBorder="1" applyAlignment="1">
      <alignment horizontal="center"/>
    </xf>
    <xf numFmtId="9" fontId="117" fillId="0" borderId="32" xfId="1" applyFont="1" applyBorder="1" applyAlignment="1">
      <alignment horizontal="center"/>
    </xf>
    <xf numFmtId="9" fontId="117" fillId="0" borderId="83" xfId="1" applyFont="1" applyBorder="1" applyAlignment="1">
      <alignment horizontal="center"/>
    </xf>
    <xf numFmtId="9" fontId="117" fillId="0" borderId="84" xfId="1" applyFont="1" applyBorder="1" applyAlignment="1">
      <alignment horizontal="center"/>
    </xf>
    <xf numFmtId="9" fontId="125" fillId="0" borderId="13" xfId="53" applyNumberFormat="1" applyFont="1" applyBorder="1" applyAlignment="1">
      <alignment horizontal="left"/>
    </xf>
    <xf numFmtId="0" fontId="117" fillId="0" borderId="0" xfId="53" applyFont="1" applyAlignment="1">
      <alignment horizontal="center"/>
    </xf>
    <xf numFmtId="0" fontId="1" fillId="37" borderId="32" xfId="53" applyFont="1" applyFill="1" applyBorder="1"/>
    <xf numFmtId="0" fontId="122" fillId="37" borderId="32" xfId="53" applyFont="1" applyFill="1" applyBorder="1"/>
    <xf numFmtId="0" fontId="123" fillId="37" borderId="32" xfId="53" applyFont="1" applyFill="1" applyBorder="1"/>
    <xf numFmtId="0" fontId="1" fillId="7" borderId="20" xfId="12" applyFont="1"/>
    <xf numFmtId="0" fontId="7" fillId="0" borderId="0" xfId="0" applyFont="1"/>
    <xf numFmtId="0" fontId="109" fillId="0" borderId="0" xfId="0" applyFont="1"/>
    <xf numFmtId="0" fontId="109" fillId="0" borderId="0" xfId="0" applyFont="1" applyAlignment="1">
      <alignment horizontal="center"/>
    </xf>
    <xf numFmtId="0" fontId="0" fillId="0" borderId="1" xfId="0" applyBorder="1" applyAlignment="1">
      <alignment horizontal="left" vertical="top" wrapText="1"/>
    </xf>
    <xf numFmtId="0" fontId="0" fillId="0" borderId="1" xfId="0" applyBorder="1"/>
    <xf numFmtId="0" fontId="0" fillId="0" borderId="1" xfId="0" applyBorder="1" applyAlignment="1">
      <alignment horizontal="center"/>
    </xf>
    <xf numFmtId="0" fontId="0" fillId="39" borderId="0" xfId="0" applyFill="1"/>
    <xf numFmtId="0" fontId="7" fillId="49" borderId="0" xfId="0" applyFont="1" applyFill="1" applyAlignment="1">
      <alignment horizontal="center" textRotation="45"/>
    </xf>
    <xf numFmtId="0" fontId="7" fillId="49" borderId="0" xfId="0" applyFont="1" applyFill="1" applyAlignment="1">
      <alignment horizontal="right"/>
    </xf>
    <xf numFmtId="0" fontId="7" fillId="49" borderId="1" xfId="0" applyFont="1" applyFill="1" applyBorder="1"/>
    <xf numFmtId="0" fontId="13" fillId="39" borderId="0" xfId="0" applyFont="1" applyFill="1"/>
    <xf numFmtId="0" fontId="82" fillId="37" borderId="0" xfId="0" applyFont="1" applyFill="1"/>
    <xf numFmtId="0" fontId="30" fillId="37" borderId="0" xfId="0" applyFont="1" applyFill="1"/>
    <xf numFmtId="0" fontId="13" fillId="37" borderId="0" xfId="0" applyFont="1" applyFill="1"/>
    <xf numFmtId="0" fontId="118" fillId="39" borderId="0" xfId="0" applyFont="1" applyFill="1"/>
    <xf numFmtId="0" fontId="126" fillId="37" borderId="0" xfId="0" applyFont="1" applyFill="1" applyAlignment="1">
      <alignment vertical="center"/>
    </xf>
    <xf numFmtId="0" fontId="127" fillId="37" borderId="0" xfId="0" applyFont="1" applyFill="1" applyAlignment="1">
      <alignment vertical="center"/>
    </xf>
    <xf numFmtId="0" fontId="128" fillId="37" borderId="0" xfId="0" applyFont="1" applyFill="1" applyAlignment="1">
      <alignment vertical="center"/>
    </xf>
    <xf numFmtId="0" fontId="127" fillId="37" borderId="0" xfId="0" applyFont="1" applyFill="1" applyAlignment="1">
      <alignment horizontal="right" vertical="center"/>
    </xf>
    <xf numFmtId="0" fontId="129" fillId="37" borderId="0" xfId="0" applyFont="1" applyFill="1" applyAlignment="1">
      <alignment vertical="center" textRotation="90"/>
    </xf>
    <xf numFmtId="0" fontId="128" fillId="37" borderId="0" xfId="0" applyFont="1" applyFill="1" applyAlignment="1">
      <alignment horizontal="right" vertical="center"/>
    </xf>
    <xf numFmtId="0" fontId="128" fillId="35" borderId="108" xfId="0" applyFont="1" applyFill="1" applyBorder="1" applyAlignment="1" applyProtection="1">
      <alignment vertical="center"/>
      <protection locked="0"/>
    </xf>
    <xf numFmtId="0" fontId="128" fillId="35" borderId="112" xfId="0" applyFont="1" applyFill="1" applyBorder="1" applyAlignment="1">
      <alignment vertical="center"/>
    </xf>
    <xf numFmtId="0" fontId="128" fillId="35" borderId="106" xfId="0" applyFont="1" applyFill="1" applyBorder="1" applyAlignment="1">
      <alignment vertical="center"/>
    </xf>
    <xf numFmtId="0" fontId="128" fillId="37" borderId="32" xfId="0" applyFont="1" applyFill="1" applyBorder="1" applyAlignment="1">
      <alignment vertical="center"/>
    </xf>
    <xf numFmtId="0" fontId="126" fillId="37" borderId="32" xfId="0" applyFont="1" applyFill="1" applyBorder="1" applyAlignment="1">
      <alignment horizontal="center" vertical="center"/>
    </xf>
    <xf numFmtId="0" fontId="130" fillId="37" borderId="0" xfId="0" applyFont="1" applyFill="1" applyAlignment="1">
      <alignment vertical="center"/>
    </xf>
    <xf numFmtId="0" fontId="130" fillId="37" borderId="16" xfId="0" applyFont="1" applyFill="1" applyBorder="1" applyAlignment="1">
      <alignment vertical="center"/>
    </xf>
    <xf numFmtId="0" fontId="130" fillId="37" borderId="27" xfId="0" applyFont="1" applyFill="1" applyBorder="1" applyAlignment="1">
      <alignment vertical="center"/>
    </xf>
    <xf numFmtId="0" fontId="130" fillId="37" borderId="29" xfId="0" applyFont="1" applyFill="1" applyBorder="1" applyAlignment="1">
      <alignment vertical="center"/>
    </xf>
    <xf numFmtId="0" fontId="130" fillId="37" borderId="32" xfId="0" applyFont="1" applyFill="1" applyBorder="1" applyAlignment="1">
      <alignment vertical="center"/>
    </xf>
    <xf numFmtId="0" fontId="130" fillId="37" borderId="15" xfId="0" applyFont="1" applyFill="1" applyBorder="1" applyAlignment="1">
      <alignment vertical="center"/>
    </xf>
    <xf numFmtId="0" fontId="128" fillId="37" borderId="268" xfId="0" applyFont="1" applyFill="1" applyBorder="1" applyAlignment="1">
      <alignment vertical="center" textRotation="90"/>
    </xf>
    <xf numFmtId="0" fontId="130" fillId="39" borderId="269" xfId="0" applyFont="1" applyFill="1" applyBorder="1" applyAlignment="1">
      <alignment vertical="center"/>
    </xf>
    <xf numFmtId="0" fontId="130" fillId="39" borderId="270" xfId="0" applyFont="1" applyFill="1" applyBorder="1" applyAlignment="1">
      <alignment horizontal="center" vertical="center"/>
    </xf>
    <xf numFmtId="0" fontId="130" fillId="39" borderId="268" xfId="0" applyFont="1" applyFill="1" applyBorder="1" applyAlignment="1">
      <alignment vertical="center"/>
    </xf>
    <xf numFmtId="0" fontId="130" fillId="37" borderId="271" xfId="0" applyFont="1" applyFill="1" applyBorder="1" applyAlignment="1">
      <alignment vertical="center"/>
    </xf>
    <xf numFmtId="0" fontId="128" fillId="37" borderId="272" xfId="0" applyFont="1" applyFill="1" applyBorder="1" applyAlignment="1">
      <alignment vertical="center"/>
    </xf>
    <xf numFmtId="0" fontId="130" fillId="37" borderId="15" xfId="0" applyFont="1" applyFill="1" applyBorder="1" applyAlignment="1">
      <alignment horizontal="center" vertical="center"/>
    </xf>
    <xf numFmtId="0" fontId="130" fillId="39" borderId="274" xfId="0" applyFont="1" applyFill="1" applyBorder="1" applyAlignment="1">
      <alignment horizontal="center" vertical="center"/>
    </xf>
    <xf numFmtId="0" fontId="128" fillId="39" borderId="274" xfId="0" applyFont="1" applyFill="1" applyBorder="1" applyAlignment="1">
      <alignment horizontal="left" vertical="center"/>
    </xf>
    <xf numFmtId="0" fontId="128" fillId="37" borderId="274" xfId="0" applyFont="1" applyFill="1" applyBorder="1" applyAlignment="1">
      <alignment horizontal="center"/>
    </xf>
    <xf numFmtId="0" fontId="128" fillId="37" borderId="276" xfId="0" applyFont="1" applyFill="1" applyBorder="1" applyAlignment="1">
      <alignment horizontal="center"/>
    </xf>
    <xf numFmtId="0" fontId="130" fillId="37" borderId="0" xfId="0" applyFont="1" applyFill="1" applyAlignment="1">
      <alignment horizontal="center" vertical="center"/>
    </xf>
    <xf numFmtId="0" fontId="131" fillId="37" borderId="0" xfId="0" applyFont="1" applyFill="1" applyAlignment="1">
      <alignment horizontal="center"/>
    </xf>
    <xf numFmtId="0" fontId="126" fillId="37" borderId="15" xfId="0" applyFont="1" applyFill="1" applyBorder="1" applyAlignment="1">
      <alignment vertical="center"/>
    </xf>
    <xf numFmtId="0" fontId="128" fillId="39" borderId="275" xfId="0" applyFont="1" applyFill="1" applyBorder="1" applyAlignment="1">
      <alignment horizontal="center" vertical="center"/>
    </xf>
    <xf numFmtId="0" fontId="82" fillId="35" borderId="275" xfId="0" applyFont="1" applyFill="1" applyBorder="1" applyAlignment="1" applyProtection="1">
      <alignment horizontal="center" vertical="center"/>
      <protection locked="0"/>
    </xf>
    <xf numFmtId="0" fontId="128" fillId="39" borderId="275" xfId="0" applyFont="1" applyFill="1" applyBorder="1" applyAlignment="1">
      <alignment vertical="center"/>
    </xf>
    <xf numFmtId="1" fontId="128" fillId="37" borderId="275" xfId="0" applyNumberFormat="1" applyFont="1" applyFill="1" applyBorder="1" applyAlignment="1">
      <alignment horizontal="center" vertical="center"/>
    </xf>
    <xf numFmtId="0" fontId="128" fillId="37" borderId="278" xfId="0" applyFont="1" applyFill="1" applyBorder="1" applyAlignment="1">
      <alignment horizontal="center" vertical="center"/>
    </xf>
    <xf numFmtId="0" fontId="132" fillId="37" borderId="275" xfId="0" quotePrefix="1" applyFont="1" applyFill="1" applyBorder="1" applyAlignment="1">
      <alignment horizontal="center" vertical="center"/>
    </xf>
    <xf numFmtId="0" fontId="133" fillId="37" borderId="275" xfId="0" applyFont="1" applyFill="1" applyBorder="1" applyAlignment="1">
      <alignment horizontal="center" vertical="center"/>
    </xf>
    <xf numFmtId="1" fontId="133" fillId="65" borderId="275" xfId="0" applyNumberFormat="1" applyFont="1" applyFill="1" applyBorder="1" applyAlignment="1">
      <alignment horizontal="center" vertical="center"/>
    </xf>
    <xf numFmtId="0" fontId="134" fillId="37" borderId="275" xfId="0" applyFont="1" applyFill="1" applyBorder="1" applyAlignment="1">
      <alignment horizontal="center" vertical="center"/>
    </xf>
    <xf numFmtId="0" fontId="135" fillId="37" borderId="275" xfId="0" quotePrefix="1" applyFont="1" applyFill="1" applyBorder="1" applyAlignment="1">
      <alignment horizontal="center" vertical="center"/>
    </xf>
    <xf numFmtId="1" fontId="133" fillId="65" borderId="275" xfId="0" quotePrefix="1" applyNumberFormat="1" applyFont="1" applyFill="1" applyBorder="1" applyAlignment="1">
      <alignment horizontal="center" vertical="center"/>
    </xf>
    <xf numFmtId="0" fontId="133" fillId="39" borderId="279" xfId="0" applyFont="1" applyFill="1" applyBorder="1" applyAlignment="1">
      <alignment horizontal="center" vertical="center"/>
    </xf>
    <xf numFmtId="0" fontId="136" fillId="37" borderId="0" xfId="0" applyFont="1" applyFill="1"/>
    <xf numFmtId="0" fontId="137" fillId="37" borderId="0" xfId="0" applyFont="1" applyFill="1" applyAlignment="1">
      <alignment vertical="center"/>
    </xf>
    <xf numFmtId="0" fontId="128" fillId="37" borderId="280" xfId="0" applyFont="1" applyFill="1" applyBorder="1" applyAlignment="1">
      <alignment horizontal="left" vertical="center"/>
    </xf>
    <xf numFmtId="0" fontId="128" fillId="39" borderId="281" xfId="0" applyFont="1" applyFill="1" applyBorder="1" applyAlignment="1">
      <alignment vertical="center"/>
    </xf>
    <xf numFmtId="0" fontId="128" fillId="37" borderId="282" xfId="0" applyFont="1" applyFill="1" applyBorder="1" applyAlignment="1">
      <alignment vertical="center"/>
    </xf>
    <xf numFmtId="0" fontId="128" fillId="37" borderId="283" xfId="0" applyFont="1" applyFill="1" applyBorder="1" applyAlignment="1">
      <alignment horizontal="center" vertical="center"/>
    </xf>
    <xf numFmtId="0" fontId="128" fillId="37" borderId="28" xfId="0" applyFont="1" applyFill="1" applyBorder="1" applyAlignment="1">
      <alignment horizontal="right" vertical="center"/>
    </xf>
    <xf numFmtId="0" fontId="128" fillId="37" borderId="30" xfId="0" applyFont="1" applyFill="1" applyBorder="1" applyAlignment="1">
      <alignment vertical="center"/>
    </xf>
    <xf numFmtId="1" fontId="128" fillId="37" borderId="277" xfId="0" applyNumberFormat="1" applyFont="1" applyFill="1" applyBorder="1" applyAlignment="1">
      <alignment horizontal="center" vertical="center"/>
    </xf>
    <xf numFmtId="0" fontId="128" fillId="37" borderId="15" xfId="0" applyFont="1" applyFill="1" applyBorder="1" applyAlignment="1">
      <alignment vertical="center"/>
    </xf>
    <xf numFmtId="0" fontId="137" fillId="37" borderId="0" xfId="0" applyFont="1" applyFill="1" applyAlignment="1">
      <alignment vertical="top"/>
    </xf>
    <xf numFmtId="0" fontId="128" fillId="37" borderId="31" xfId="0" applyFont="1" applyFill="1" applyBorder="1" applyAlignment="1">
      <alignment vertical="center"/>
    </xf>
    <xf numFmtId="0" fontId="128" fillId="37" borderId="284" xfId="0" applyFont="1" applyFill="1" applyBorder="1" applyAlignment="1">
      <alignment horizontal="center" vertical="center"/>
    </xf>
    <xf numFmtId="0" fontId="128" fillId="37" borderId="16" xfId="0" applyFont="1" applyFill="1" applyBorder="1" applyAlignment="1">
      <alignment vertical="center"/>
    </xf>
    <xf numFmtId="0" fontId="137" fillId="37" borderId="0" xfId="0" quotePrefix="1" applyFont="1" applyFill="1" applyAlignment="1">
      <alignment vertical="center"/>
    </xf>
    <xf numFmtId="0" fontId="138" fillId="37" borderId="0" xfId="0" applyFont="1" applyFill="1" applyAlignment="1">
      <alignment vertical="center"/>
    </xf>
    <xf numFmtId="0" fontId="133" fillId="37" borderId="0" xfId="0" quotePrefix="1" applyFont="1" applyFill="1" applyAlignment="1">
      <alignment vertical="center"/>
    </xf>
    <xf numFmtId="0" fontId="139" fillId="35" borderId="285" xfId="0" applyFont="1" applyFill="1" applyBorder="1" applyAlignment="1" applyProtection="1">
      <alignment vertical="center"/>
      <protection locked="0"/>
    </xf>
    <xf numFmtId="0" fontId="128" fillId="35" borderId="286" xfId="0" applyFont="1" applyFill="1" applyBorder="1" applyAlignment="1" applyProtection="1">
      <alignment vertical="center"/>
      <protection locked="0"/>
    </xf>
    <xf numFmtId="0" fontId="128" fillId="35" borderId="287" xfId="0" applyFont="1" applyFill="1" applyBorder="1" applyAlignment="1" applyProtection="1">
      <alignment vertical="center"/>
      <protection locked="0"/>
    </xf>
    <xf numFmtId="0" fontId="139" fillId="35" borderId="288" xfId="0" applyFont="1" applyFill="1" applyBorder="1" applyAlignment="1" applyProtection="1">
      <alignment vertical="center"/>
      <protection locked="0"/>
    </xf>
    <xf numFmtId="0" fontId="128" fillId="35" borderId="0" xfId="0" applyFont="1" applyFill="1" applyAlignment="1" applyProtection="1">
      <alignment vertical="center"/>
      <protection locked="0"/>
    </xf>
    <xf numFmtId="0" fontId="128" fillId="35" borderId="289" xfId="0" applyFont="1" applyFill="1" applyBorder="1" applyAlignment="1" applyProtection="1">
      <alignment vertical="center"/>
      <protection locked="0"/>
    </xf>
    <xf numFmtId="0" fontId="139" fillId="35" borderId="290" xfId="0" applyFont="1" applyFill="1" applyBorder="1" applyAlignment="1" applyProtection="1">
      <alignment vertical="center"/>
      <protection locked="0"/>
    </xf>
    <xf numFmtId="0" fontId="128" fillId="35" borderId="291" xfId="0" applyFont="1" applyFill="1" applyBorder="1" applyAlignment="1" applyProtection="1">
      <alignment vertical="center"/>
      <protection locked="0"/>
    </xf>
    <xf numFmtId="0" fontId="128" fillId="35" borderId="292" xfId="0" applyFont="1" applyFill="1" applyBorder="1" applyAlignment="1" applyProtection="1">
      <alignment vertical="center"/>
      <protection locked="0"/>
    </xf>
    <xf numFmtId="0" fontId="0" fillId="0" borderId="1" xfId="0" applyBorder="1" applyAlignment="1">
      <alignment horizontal="center" vertical="center"/>
    </xf>
    <xf numFmtId="0" fontId="0" fillId="0" borderId="0" xfId="0" applyAlignment="1">
      <alignment vertical="center"/>
    </xf>
    <xf numFmtId="0" fontId="0" fillId="49" borderId="0" xfId="0" applyFill="1" applyAlignment="1">
      <alignment horizontal="center" textRotation="45"/>
    </xf>
    <xf numFmtId="0" fontId="7" fillId="49" borderId="0" xfId="0" applyFont="1" applyFill="1" applyAlignment="1">
      <alignment horizontal="left" textRotation="45"/>
    </xf>
    <xf numFmtId="0" fontId="64" fillId="37" borderId="0" xfId="0" applyFont="1" applyFill="1" applyAlignment="1">
      <alignment horizontal="left"/>
    </xf>
    <xf numFmtId="0" fontId="66" fillId="37" borderId="0" xfId="0" applyFont="1" applyFill="1"/>
    <xf numFmtId="0" fontId="66" fillId="37" borderId="0" xfId="0" applyFont="1" applyFill="1" applyAlignment="1">
      <alignment horizontal="center"/>
    </xf>
    <xf numFmtId="0" fontId="76" fillId="67" borderId="1" xfId="0" applyFont="1" applyFill="1" applyBorder="1" applyAlignment="1">
      <alignment horizontal="left" vertical="center" wrapText="1"/>
    </xf>
    <xf numFmtId="0" fontId="76" fillId="67" borderId="1" xfId="0" applyFont="1" applyFill="1" applyBorder="1" applyAlignment="1">
      <alignment horizontal="center" vertical="center" wrapText="1" readingOrder="1"/>
    </xf>
    <xf numFmtId="0" fontId="67" fillId="67" borderId="1" xfId="0" applyFont="1" applyFill="1" applyBorder="1" applyAlignment="1">
      <alignment horizontal="center" vertical="center" wrapText="1" readingOrder="1"/>
    </xf>
    <xf numFmtId="0" fontId="74" fillId="66" borderId="51" xfId="0" applyFont="1" applyFill="1" applyBorder="1" applyAlignment="1">
      <alignment horizontal="left" vertical="top" wrapText="1"/>
    </xf>
    <xf numFmtId="0" fontId="74" fillId="66" borderId="51" xfId="0" applyFont="1" applyFill="1" applyBorder="1" applyAlignment="1">
      <alignment horizontal="center" vertical="top" wrapText="1" readingOrder="1"/>
    </xf>
    <xf numFmtId="0" fontId="74" fillId="66" borderId="51" xfId="0" quotePrefix="1" applyFont="1" applyFill="1" applyBorder="1" applyAlignment="1">
      <alignment horizontal="center" vertical="top" wrapText="1" readingOrder="1"/>
    </xf>
    <xf numFmtId="0" fontId="74" fillId="50" borderId="51" xfId="0" applyFont="1" applyFill="1" applyBorder="1" applyAlignment="1">
      <alignment horizontal="center" vertical="top" wrapText="1" readingOrder="1"/>
    </xf>
    <xf numFmtId="0" fontId="39" fillId="50" borderId="51" xfId="0" applyFont="1" applyFill="1" applyBorder="1" applyAlignment="1">
      <alignment horizontal="center" vertical="top" wrapText="1"/>
    </xf>
    <xf numFmtId="0" fontId="73" fillId="50" borderId="51" xfId="0" applyFont="1" applyFill="1" applyBorder="1" applyAlignment="1">
      <alignment horizontal="center" vertical="top" wrapText="1"/>
    </xf>
    <xf numFmtId="0" fontId="53" fillId="50" borderId="51" xfId="0" applyFont="1" applyFill="1" applyBorder="1" applyAlignment="1">
      <alignment horizontal="center" vertical="top" wrapText="1" readingOrder="1"/>
    </xf>
    <xf numFmtId="0" fontId="78" fillId="66" borderId="20" xfId="14" applyFont="1" applyFill="1" applyAlignment="1">
      <alignment horizontal="center" vertical="top" wrapText="1" readingOrder="1"/>
    </xf>
    <xf numFmtId="0" fontId="78" fillId="50" borderId="93" xfId="14" applyFont="1" applyFill="1" applyBorder="1" applyAlignment="1">
      <alignment horizontal="center" vertical="top" wrapText="1" readingOrder="1"/>
    </xf>
    <xf numFmtId="0" fontId="78" fillId="50" borderId="20" xfId="14" applyFont="1" applyFill="1" applyAlignment="1">
      <alignment horizontal="center" vertical="top" wrapText="1" readingOrder="1"/>
    </xf>
    <xf numFmtId="49" fontId="13" fillId="50" borderId="189" xfId="0" applyNumberFormat="1" applyFont="1" applyFill="1" applyBorder="1" applyAlignment="1">
      <alignment horizontal="center" vertical="top" wrapText="1"/>
    </xf>
    <xf numFmtId="49" fontId="13" fillId="50" borderId="190" xfId="0" applyNumberFormat="1" applyFont="1" applyFill="1" applyBorder="1" applyAlignment="1">
      <alignment horizontal="center" vertical="top" wrapText="1"/>
    </xf>
    <xf numFmtId="49" fontId="13" fillId="50" borderId="191" xfId="0" applyNumberFormat="1" applyFont="1" applyFill="1" applyBorder="1" applyAlignment="1">
      <alignment horizontal="center" vertical="top" wrapText="1"/>
    </xf>
    <xf numFmtId="0" fontId="13" fillId="50" borderId="192" xfId="0" applyFont="1" applyFill="1" applyBorder="1" applyAlignment="1">
      <alignment horizontal="center" vertical="top" wrapText="1"/>
    </xf>
    <xf numFmtId="0" fontId="13" fillId="50" borderId="190" xfId="0" applyFont="1" applyFill="1" applyBorder="1" applyAlignment="1">
      <alignment horizontal="center" vertical="top" wrapText="1"/>
    </xf>
    <xf numFmtId="49" fontId="13" fillId="50" borderId="193" xfId="0" applyNumberFormat="1" applyFont="1" applyFill="1" applyBorder="1" applyAlignment="1">
      <alignment horizontal="center" vertical="top" wrapText="1"/>
    </xf>
    <xf numFmtId="0" fontId="13" fillId="50" borderId="193" xfId="0" applyFont="1" applyFill="1" applyBorder="1" applyAlignment="1">
      <alignment horizontal="center" vertical="top" wrapText="1"/>
    </xf>
    <xf numFmtId="0" fontId="13" fillId="50" borderId="194" xfId="0" applyFont="1" applyFill="1" applyBorder="1" applyAlignment="1">
      <alignment horizontal="center" vertical="top" wrapText="1"/>
    </xf>
    <xf numFmtId="0" fontId="13" fillId="50" borderId="195" xfId="0" applyFont="1" applyFill="1" applyBorder="1" applyAlignment="1">
      <alignment horizontal="center" vertical="top" wrapText="1"/>
    </xf>
    <xf numFmtId="0" fontId="13" fillId="37" borderId="0" xfId="0" applyFont="1" applyFill="1" applyAlignment="1">
      <alignment vertical="top"/>
    </xf>
    <xf numFmtId="0" fontId="13" fillId="37" borderId="0" xfId="0" applyFont="1" applyFill="1" applyAlignment="1">
      <alignment horizontal="left" vertical="top"/>
    </xf>
    <xf numFmtId="0" fontId="48" fillId="39" borderId="0" xfId="0" applyFont="1" applyFill="1" applyAlignment="1">
      <alignment vertical="top"/>
    </xf>
    <xf numFmtId="0" fontId="13" fillId="39" borderId="0" xfId="0" applyFont="1" applyFill="1" applyAlignment="1">
      <alignment vertical="top"/>
    </xf>
    <xf numFmtId="0" fontId="30" fillId="39" borderId="0" xfId="0" applyFont="1" applyFill="1" applyAlignment="1">
      <alignment vertical="top"/>
    </xf>
    <xf numFmtId="14" fontId="13" fillId="39" borderId="0" xfId="0" applyNumberFormat="1" applyFont="1" applyFill="1" applyAlignment="1">
      <alignment vertical="top"/>
    </xf>
    <xf numFmtId="0" fontId="43" fillId="39" borderId="0" xfId="0" applyFont="1" applyFill="1" applyAlignment="1">
      <alignment horizontal="left"/>
    </xf>
    <xf numFmtId="0" fontId="43" fillId="37" borderId="0" xfId="0" applyFont="1" applyFill="1" applyAlignment="1">
      <alignment horizontal="left"/>
    </xf>
    <xf numFmtId="0" fontId="1" fillId="49" borderId="0" xfId="0" applyFont="1" applyFill="1"/>
    <xf numFmtId="0" fontId="43" fillId="49" borderId="0" xfId="0" applyFont="1" applyFill="1" applyAlignment="1">
      <alignment horizontal="center" textRotation="71"/>
    </xf>
    <xf numFmtId="0" fontId="118" fillId="39" borderId="0" xfId="0" applyFont="1" applyFill="1" applyAlignment="1">
      <alignment horizontal="left" vertical="top"/>
    </xf>
    <xf numFmtId="0" fontId="47" fillId="39" borderId="0" xfId="0" applyFont="1" applyFill="1" applyAlignment="1">
      <alignment vertical="top"/>
    </xf>
    <xf numFmtId="0" fontId="48" fillId="39" borderId="0" xfId="0" applyFont="1" applyFill="1" applyAlignment="1">
      <alignment horizontal="right" vertical="top"/>
    </xf>
    <xf numFmtId="0" fontId="47" fillId="39" borderId="0" xfId="0" applyFont="1" applyFill="1" applyAlignment="1">
      <alignment horizontal="left" vertical="top"/>
    </xf>
    <xf numFmtId="0" fontId="48" fillId="37" borderId="0" xfId="0" applyFont="1" applyFill="1" applyAlignment="1">
      <alignment horizontal="left" vertical="top"/>
    </xf>
    <xf numFmtId="0" fontId="48" fillId="37" borderId="0" xfId="0" applyFont="1" applyFill="1" applyAlignment="1">
      <alignment horizontal="right" vertical="top"/>
    </xf>
    <xf numFmtId="0" fontId="112" fillId="58" borderId="1" xfId="0" applyFont="1" applyFill="1" applyBorder="1" applyAlignment="1">
      <alignment horizontal="left" vertical="top" wrapText="1"/>
    </xf>
    <xf numFmtId="0" fontId="112" fillId="58" borderId="1" xfId="0" applyFont="1" applyFill="1" applyBorder="1" applyAlignment="1">
      <alignment horizontal="center" vertical="top" wrapText="1"/>
    </xf>
    <xf numFmtId="0" fontId="8" fillId="64" borderId="1" xfId="0" applyFont="1" applyFill="1" applyBorder="1" applyAlignment="1">
      <alignment horizontal="left" vertical="top" wrapText="1"/>
    </xf>
    <xf numFmtId="0" fontId="8" fillId="64" borderId="1" xfId="0" applyFont="1" applyFill="1" applyBorder="1" applyAlignment="1">
      <alignment horizontal="center" vertical="top" wrapText="1"/>
    </xf>
    <xf numFmtId="0" fontId="7" fillId="0" borderId="0" xfId="0" applyFont="1" applyAlignment="1">
      <alignment horizontal="left" vertical="top"/>
    </xf>
    <xf numFmtId="0" fontId="0" fillId="0" borderId="56" xfId="0" applyBorder="1" applyAlignment="1">
      <alignment horizontal="left" vertical="top"/>
    </xf>
    <xf numFmtId="0" fontId="0" fillId="0" borderId="92" xfId="0" applyBorder="1" applyAlignment="1">
      <alignment horizontal="left" vertical="top"/>
    </xf>
    <xf numFmtId="0" fontId="0" fillId="0" borderId="56" xfId="0" applyBorder="1" applyAlignment="1">
      <alignment vertical="top"/>
    </xf>
    <xf numFmtId="0" fontId="0" fillId="49" borderId="56" xfId="0" applyFill="1" applyBorder="1" applyAlignment="1">
      <alignment horizontal="center" vertical="top"/>
    </xf>
    <xf numFmtId="0" fontId="0" fillId="49" borderId="56" xfId="0" applyFill="1" applyBorder="1" applyAlignment="1">
      <alignment horizontal="left" vertical="top"/>
    </xf>
    <xf numFmtId="0" fontId="7" fillId="50" borderId="53" xfId="0" applyFont="1" applyFill="1" applyBorder="1" applyAlignment="1">
      <alignment vertical="top"/>
    </xf>
    <xf numFmtId="0" fontId="0" fillId="0" borderId="57" xfId="0" applyBorder="1" applyAlignment="1">
      <alignment horizontal="left" vertical="top"/>
    </xf>
    <xf numFmtId="0" fontId="0" fillId="49" borderId="55" xfId="0" applyFill="1" applyBorder="1" applyAlignment="1">
      <alignment horizontal="center" vertical="top"/>
    </xf>
    <xf numFmtId="0" fontId="0" fillId="0" borderId="55" xfId="0" applyBorder="1" applyAlignment="1">
      <alignment horizontal="left" vertical="top"/>
    </xf>
    <xf numFmtId="0" fontId="0" fillId="49" borderId="57" xfId="0" applyFill="1" applyBorder="1" applyAlignment="1">
      <alignment horizontal="left" vertical="top"/>
    </xf>
    <xf numFmtId="0" fontId="19" fillId="5" borderId="57" xfId="10" applyBorder="1" applyAlignment="1">
      <alignment horizontal="center" vertical="top"/>
    </xf>
    <xf numFmtId="0" fontId="20" fillId="6" borderId="57" xfId="11" applyBorder="1" applyAlignment="1">
      <alignment horizontal="center" vertical="top"/>
    </xf>
    <xf numFmtId="0" fontId="18" fillId="4" borderId="57" xfId="9" applyBorder="1" applyAlignment="1">
      <alignment horizontal="center" vertical="top"/>
    </xf>
    <xf numFmtId="49" fontId="140" fillId="35" borderId="0" xfId="52" applyNumberFormat="1" applyFont="1" applyFill="1" applyAlignment="1">
      <alignment horizontal="left" vertical="center"/>
    </xf>
    <xf numFmtId="0" fontId="33" fillId="0" borderId="0" xfId="52" applyAlignment="1">
      <alignment horizontal="left"/>
    </xf>
    <xf numFmtId="164" fontId="0" fillId="0" borderId="0" xfId="48" applyFont="1" applyFill="1" applyBorder="1" applyAlignment="1"/>
    <xf numFmtId="175" fontId="0" fillId="0" borderId="0" xfId="48" applyNumberFormat="1" applyFont="1" applyFill="1" applyBorder="1" applyAlignment="1"/>
    <xf numFmtId="175" fontId="0" fillId="0" borderId="32" xfId="48" applyNumberFormat="1" applyFont="1" applyFill="1" applyBorder="1" applyAlignment="1"/>
    <xf numFmtId="0" fontId="7" fillId="49" borderId="0" xfId="0" applyFont="1" applyFill="1"/>
    <xf numFmtId="0" fontId="33" fillId="35" borderId="0" xfId="52" applyFill="1"/>
    <xf numFmtId="0" fontId="33" fillId="35" borderId="0" xfId="52" quotePrefix="1" applyFill="1"/>
    <xf numFmtId="0" fontId="43" fillId="3" borderId="62" xfId="0" applyFont="1" applyFill="1" applyBorder="1" applyAlignment="1">
      <alignment horizontal="left" vertical="top"/>
    </xf>
    <xf numFmtId="0" fontId="43" fillId="3" borderId="62" xfId="0" applyFont="1" applyFill="1" applyBorder="1" applyAlignment="1">
      <alignment horizontal="center" vertical="top"/>
    </xf>
    <xf numFmtId="0" fontId="43" fillId="3" borderId="248" xfId="0" applyFont="1" applyFill="1" applyBorder="1" applyAlignment="1">
      <alignment horizontal="center" vertical="top"/>
    </xf>
    <xf numFmtId="0" fontId="43" fillId="3" borderId="247" xfId="0" applyFont="1" applyFill="1" applyBorder="1" applyAlignment="1">
      <alignment horizontal="center" vertical="top" wrapText="1"/>
    </xf>
    <xf numFmtId="0" fontId="43" fillId="3" borderId="62" xfId="0" applyFont="1" applyFill="1" applyBorder="1" applyAlignment="1">
      <alignment horizontal="center" vertical="top" wrapText="1"/>
    </xf>
    <xf numFmtId="14" fontId="0" fillId="0" borderId="0" xfId="0" applyNumberFormat="1" applyAlignment="1">
      <alignment horizontal="left" vertical="top"/>
    </xf>
    <xf numFmtId="49" fontId="0" fillId="0" borderId="0" xfId="0" applyNumberFormat="1" applyAlignment="1">
      <alignment horizontal="left" vertical="top"/>
    </xf>
    <xf numFmtId="49" fontId="0" fillId="37" borderId="0" xfId="0" applyNumberFormat="1" applyFill="1" applyAlignment="1">
      <alignment horizontal="left" vertical="top"/>
    </xf>
    <xf numFmtId="0" fontId="0" fillId="37" borderId="0" xfId="0" applyFill="1" applyAlignment="1">
      <alignment horizontal="left" vertical="top"/>
    </xf>
    <xf numFmtId="0" fontId="0" fillId="0" borderId="53" xfId="0" applyBorder="1" applyAlignment="1">
      <alignment horizontal="left" vertical="top"/>
    </xf>
    <xf numFmtId="0" fontId="0" fillId="0" borderId="54" xfId="0" applyBorder="1" applyAlignment="1">
      <alignment horizontal="left" vertical="top"/>
    </xf>
    <xf numFmtId="0" fontId="7" fillId="8" borderId="258" xfId="54" applyFont="1" applyBorder="1" applyAlignment="1">
      <alignment horizontal="left" vertical="top"/>
    </xf>
    <xf numFmtId="49" fontId="83" fillId="0" borderId="141" xfId="0" applyNumberFormat="1" applyFont="1" applyBorder="1" applyAlignment="1">
      <alignment horizontal="left" vertical="top"/>
    </xf>
    <xf numFmtId="14" fontId="83" fillId="0" borderId="141" xfId="0" applyNumberFormat="1" applyFont="1" applyBorder="1" applyAlignment="1">
      <alignment horizontal="left" vertical="top"/>
    </xf>
    <xf numFmtId="0" fontId="83" fillId="0" borderId="141" xfId="0" applyFont="1" applyBorder="1" applyAlignment="1">
      <alignment horizontal="left" vertical="top" wrapText="1"/>
    </xf>
    <xf numFmtId="0" fontId="86" fillId="0" borderId="264" xfId="0" applyFont="1" applyBorder="1" applyAlignment="1">
      <alignment horizontal="left" vertical="top" wrapText="1"/>
    </xf>
    <xf numFmtId="0" fontId="86" fillId="0" borderId="145" xfId="0" applyFont="1" applyBorder="1" applyAlignment="1">
      <alignment horizontal="left" vertical="top" wrapText="1"/>
    </xf>
    <xf numFmtId="0" fontId="86" fillId="0" borderId="141" xfId="0" applyFont="1" applyBorder="1" applyAlignment="1">
      <alignment horizontal="left" vertical="top" wrapText="1"/>
    </xf>
    <xf numFmtId="0" fontId="86" fillId="0" borderId="142" xfId="0" applyFont="1" applyBorder="1" applyAlignment="1">
      <alignment horizontal="left" vertical="top" wrapText="1"/>
    </xf>
    <xf numFmtId="0" fontId="7" fillId="8" borderId="259" xfId="54" applyFont="1" applyBorder="1" applyAlignment="1">
      <alignment horizontal="left" vertical="top"/>
    </xf>
    <xf numFmtId="0" fontId="83" fillId="0" borderId="149" xfId="0" applyFont="1" applyBorder="1" applyAlignment="1">
      <alignment horizontal="left" vertical="top" wrapText="1"/>
    </xf>
    <xf numFmtId="0" fontId="86" fillId="0" borderId="265" xfId="0" applyFont="1" applyBorder="1" applyAlignment="1">
      <alignment horizontal="left" vertical="top" wrapText="1"/>
    </xf>
    <xf numFmtId="0" fontId="86" fillId="0" borderId="115" xfId="0" applyFont="1" applyBorder="1" applyAlignment="1">
      <alignment horizontal="left" vertical="top" wrapText="1"/>
    </xf>
    <xf numFmtId="0" fontId="86" fillId="0" borderId="149" xfId="0" applyFont="1" applyBorder="1" applyAlignment="1">
      <alignment horizontal="left" vertical="top" wrapText="1"/>
    </xf>
    <xf numFmtId="0" fontId="86" fillId="0" borderId="114" xfId="0" applyFont="1" applyBorder="1" applyAlignment="1">
      <alignment horizontal="left" vertical="top" wrapText="1"/>
    </xf>
    <xf numFmtId="14" fontId="7" fillId="3" borderId="254" xfId="0" applyNumberFormat="1" applyFont="1" applyFill="1" applyBorder="1" applyAlignment="1">
      <alignment horizontal="center" vertical="top" wrapText="1"/>
    </xf>
    <xf numFmtId="0" fontId="0" fillId="0" borderId="0" xfId="0" applyAlignment="1">
      <alignment horizontal="right"/>
    </xf>
    <xf numFmtId="10" fontId="0" fillId="0" borderId="0" xfId="0" applyNumberFormat="1" applyAlignment="1">
      <alignment horizontal="right"/>
    </xf>
    <xf numFmtId="0" fontId="5" fillId="8" borderId="20" xfId="14" applyFont="1" applyAlignment="1">
      <alignment horizontal="center"/>
    </xf>
    <xf numFmtId="10" fontId="5" fillId="8" borderId="20" xfId="1" applyNumberFormat="1" applyFont="1" applyFill="1" applyBorder="1"/>
    <xf numFmtId="2" fontId="5" fillId="8" borderId="20" xfId="14" applyNumberFormat="1" applyFont="1" applyAlignment="1">
      <alignment horizontal="center"/>
    </xf>
    <xf numFmtId="165" fontId="5" fillId="8" borderId="20" xfId="14" applyNumberFormat="1" applyFont="1" applyAlignment="1">
      <alignment horizontal="center"/>
    </xf>
    <xf numFmtId="175" fontId="93" fillId="0" borderId="0" xfId="48" applyNumberFormat="1" applyFont="1" applyAlignment="1">
      <alignment horizontal="center"/>
    </xf>
    <xf numFmtId="175" fontId="93" fillId="0" borderId="0" xfId="48" applyNumberFormat="1" applyFont="1" applyAlignment="1">
      <alignment horizontal="center" vertical="center" wrapText="1"/>
    </xf>
    <xf numFmtId="175" fontId="93" fillId="0" borderId="0" xfId="48" applyNumberFormat="1" applyFont="1"/>
    <xf numFmtId="0" fontId="0" fillId="35" borderId="0" xfId="0" applyFill="1" applyAlignment="1">
      <alignment vertical="top"/>
    </xf>
    <xf numFmtId="0" fontId="109" fillId="0" borderId="58" xfId="0" applyFont="1" applyBorder="1" applyAlignment="1">
      <alignment vertical="top" wrapText="1"/>
    </xf>
    <xf numFmtId="0" fontId="0" fillId="3" borderId="58" xfId="0" applyFill="1" applyBorder="1" applyAlignment="1">
      <alignment horizontal="center" vertical="top"/>
    </xf>
    <xf numFmtId="0" fontId="0" fillId="49" borderId="54" xfId="0" applyFill="1" applyBorder="1" applyAlignment="1">
      <alignment horizontal="left" vertical="center"/>
    </xf>
    <xf numFmtId="0" fontId="0" fillId="49" borderId="60" xfId="0" applyFill="1" applyBorder="1" applyAlignment="1">
      <alignment horizontal="left" vertical="center"/>
    </xf>
    <xf numFmtId="0" fontId="0" fillId="0" borderId="305" xfId="0" applyBorder="1" applyAlignment="1">
      <alignment vertical="top" wrapText="1"/>
    </xf>
    <xf numFmtId="0" fontId="0" fillId="3" borderId="306" xfId="0" applyFill="1" applyBorder="1" applyAlignment="1">
      <alignment horizontal="center" vertical="top"/>
    </xf>
    <xf numFmtId="0" fontId="0" fillId="0" borderId="307" xfId="0" applyBorder="1" applyAlignment="1">
      <alignment vertical="top" wrapText="1"/>
    </xf>
    <xf numFmtId="0" fontId="0" fillId="0" borderId="304" xfId="0" applyBorder="1" applyAlignment="1">
      <alignment vertical="top" wrapText="1"/>
    </xf>
    <xf numFmtId="0" fontId="54" fillId="0" borderId="0" xfId="0" applyFont="1" applyAlignment="1">
      <alignment horizontal="right"/>
    </xf>
    <xf numFmtId="0" fontId="54" fillId="0" borderId="0" xfId="14" applyFont="1" applyFill="1" applyBorder="1"/>
    <xf numFmtId="0" fontId="143" fillId="0" borderId="0" xfId="0" applyFont="1"/>
    <xf numFmtId="0" fontId="144" fillId="0" borderId="0" xfId="0" applyFont="1"/>
    <xf numFmtId="0" fontId="128" fillId="49" borderId="275" xfId="0" applyFont="1" applyFill="1" applyBorder="1" applyAlignment="1" applyProtection="1">
      <alignment horizontal="center" vertical="center" wrapText="1"/>
      <protection locked="0"/>
    </xf>
    <xf numFmtId="0" fontId="128" fillId="69" borderId="277" xfId="0" applyFont="1" applyFill="1" applyBorder="1" applyAlignment="1" applyProtection="1">
      <alignment horizontal="left" vertical="center"/>
      <protection locked="0"/>
    </xf>
    <xf numFmtId="0" fontId="128" fillId="69" borderId="277" xfId="0" applyFont="1" applyFill="1" applyBorder="1" applyAlignment="1" applyProtection="1">
      <alignment horizontal="center" vertical="center"/>
      <protection locked="0"/>
    </xf>
    <xf numFmtId="0" fontId="128" fillId="3" borderId="277" xfId="0" applyFont="1" applyFill="1" applyBorder="1" applyAlignment="1" applyProtection="1">
      <alignment horizontal="center" vertical="center"/>
      <protection locked="0"/>
    </xf>
    <xf numFmtId="0" fontId="30" fillId="68" borderId="273" xfId="0" applyFont="1" applyFill="1" applyBorder="1" applyAlignment="1">
      <alignment horizontal="center" vertical="center"/>
    </xf>
    <xf numFmtId="0" fontId="30" fillId="36" borderId="273" xfId="0" applyFont="1" applyFill="1" applyBorder="1" applyAlignment="1" applyProtection="1">
      <alignment horizontal="center" vertical="center"/>
      <protection locked="0"/>
    </xf>
    <xf numFmtId="0" fontId="130" fillId="49" borderId="275" xfId="0" applyFont="1" applyFill="1" applyBorder="1" applyAlignment="1" applyProtection="1">
      <alignment horizontal="center" vertical="center" wrapText="1"/>
      <protection locked="0"/>
    </xf>
    <xf numFmtId="0" fontId="128" fillId="37" borderId="0" xfId="0" applyFont="1" applyFill="1"/>
    <xf numFmtId="0" fontId="128" fillId="37" borderId="32" xfId="0" applyFont="1" applyFill="1" applyBorder="1" applyAlignment="1">
      <alignment horizontal="left" vertical="center"/>
    </xf>
    <xf numFmtId="0" fontId="71" fillId="36" borderId="4" xfId="50" applyFont="1" applyFill="1" applyBorder="1" applyAlignment="1">
      <alignment vertical="center" wrapText="1"/>
    </xf>
    <xf numFmtId="0" fontId="67" fillId="40" borderId="31" xfId="50" applyFont="1" applyFill="1" applyBorder="1" applyAlignment="1">
      <alignment horizontal="left" vertical="center" wrapText="1"/>
    </xf>
    <xf numFmtId="0" fontId="1" fillId="0" borderId="4" xfId="0" applyFont="1" applyBorder="1" applyAlignment="1">
      <alignment horizontal="left"/>
    </xf>
    <xf numFmtId="0" fontId="1" fillId="0" borderId="0" xfId="0" applyFont="1" applyAlignment="1">
      <alignment horizontal="right"/>
    </xf>
    <xf numFmtId="0" fontId="36" fillId="0" borderId="0" xfId="0" applyFont="1" applyAlignment="1" applyProtection="1">
      <alignment horizontal="center"/>
      <protection locked="0"/>
    </xf>
    <xf numFmtId="0" fontId="0" fillId="0" borderId="0" xfId="0" applyAlignment="1" applyProtection="1">
      <alignment vertical="top" wrapText="1"/>
      <protection locked="0"/>
    </xf>
    <xf numFmtId="0" fontId="13" fillId="0" borderId="202" xfId="0" applyFont="1" applyBorder="1" applyAlignment="1" applyProtection="1">
      <alignment vertical="top" wrapText="1"/>
      <protection locked="0"/>
    </xf>
    <xf numFmtId="0" fontId="77" fillId="0" borderId="1" xfId="0" applyFont="1" applyBorder="1" applyAlignment="1" applyProtection="1">
      <alignment horizontal="left" vertical="top" wrapText="1" readingOrder="1"/>
      <protection locked="0"/>
    </xf>
    <xf numFmtId="0" fontId="0" fillId="0" borderId="1" xfId="0" applyBorder="1" applyAlignment="1" applyProtection="1">
      <alignment horizontal="center" vertical="center"/>
      <protection locked="0"/>
    </xf>
    <xf numFmtId="0" fontId="5" fillId="0" borderId="0" xfId="50" applyFont="1" applyProtection="1">
      <protection locked="0"/>
    </xf>
    <xf numFmtId="0" fontId="0" fillId="0" borderId="32" xfId="0" applyBorder="1" applyProtection="1">
      <protection locked="0"/>
    </xf>
    <xf numFmtId="0" fontId="0" fillId="0" borderId="0" xfId="0" applyAlignment="1" applyProtection="1">
      <alignment horizontal="center" vertical="center" wrapText="1"/>
      <protection locked="0"/>
    </xf>
    <xf numFmtId="0" fontId="55" fillId="47" borderId="0" xfId="2" applyFont="1" applyFill="1" applyProtection="1">
      <protection locked="0"/>
    </xf>
    <xf numFmtId="0" fontId="36" fillId="0" borderId="0" xfId="0" applyFont="1" applyProtection="1">
      <protection locked="0"/>
    </xf>
    <xf numFmtId="0" fontId="66" fillId="0" borderId="0" xfId="0" applyFont="1" applyAlignment="1" applyProtection="1">
      <alignment horizontal="right"/>
      <protection locked="0"/>
    </xf>
    <xf numFmtId="0" fontId="44" fillId="7" borderId="20" xfId="12" applyFont="1" applyProtection="1">
      <protection locked="0"/>
    </xf>
    <xf numFmtId="0" fontId="47" fillId="0" borderId="0" xfId="0" applyFont="1" applyProtection="1">
      <protection locked="0"/>
    </xf>
    <xf numFmtId="164" fontId="104" fillId="8" borderId="20" xfId="48" applyFont="1" applyFill="1" applyBorder="1" applyProtection="1">
      <protection locked="0"/>
    </xf>
    <xf numFmtId="0" fontId="21" fillId="7" borderId="20" xfId="12" applyAlignment="1" applyProtection="1">
      <alignment horizontal="center" vertical="top"/>
      <protection locked="0"/>
    </xf>
    <xf numFmtId="0" fontId="47" fillId="37" borderId="0" xfId="0" applyFont="1" applyFill="1" applyProtection="1">
      <protection locked="0"/>
    </xf>
    <xf numFmtId="2" fontId="44" fillId="7" borderId="20" xfId="12" applyNumberFormat="1" applyFont="1" applyProtection="1">
      <protection locked="0"/>
    </xf>
    <xf numFmtId="0" fontId="94" fillId="8" borderId="20" xfId="14" applyFont="1" applyProtection="1">
      <protection locked="0"/>
    </xf>
    <xf numFmtId="0" fontId="66" fillId="0" borderId="0" xfId="0" applyFont="1" applyProtection="1">
      <protection locked="0"/>
    </xf>
    <xf numFmtId="0" fontId="0" fillId="0" borderId="0" xfId="0" applyProtection="1">
      <protection locked="0"/>
    </xf>
    <xf numFmtId="167" fontId="45" fillId="8" borderId="20" xfId="14" applyNumberFormat="1" applyFont="1" applyProtection="1">
      <protection locked="0"/>
    </xf>
    <xf numFmtId="0" fontId="83" fillId="0" borderId="0" xfId="2" applyFont="1" applyAlignment="1" applyProtection="1">
      <alignment vertical="center"/>
      <protection locked="0"/>
    </xf>
    <xf numFmtId="0" fontId="21" fillId="7" borderId="20" xfId="55" applyFont="1" applyProtection="1">
      <protection locked="0"/>
    </xf>
    <xf numFmtId="0" fontId="47" fillId="0" borderId="1" xfId="0" applyFont="1" applyBorder="1" applyAlignment="1" applyProtection="1">
      <alignment horizontal="left" vertical="top" wrapText="1"/>
      <protection locked="0"/>
    </xf>
    <xf numFmtId="0" fontId="122" fillId="0" borderId="79" xfId="53" applyFont="1" applyBorder="1" applyAlignment="1" applyProtection="1">
      <alignment horizontal="center"/>
      <protection locked="0"/>
    </xf>
    <xf numFmtId="0" fontId="21" fillId="7" borderId="220" xfId="12" applyBorder="1" applyAlignment="1" applyProtection="1">
      <alignment vertical="top" wrapText="1"/>
      <protection locked="0"/>
    </xf>
    <xf numFmtId="49" fontId="0" fillId="0" borderId="0" xfId="0" applyNumberFormat="1" applyAlignment="1" applyProtection="1">
      <alignment horizontal="left" vertical="top"/>
      <protection locked="0"/>
    </xf>
    <xf numFmtId="0" fontId="0" fillId="0" borderId="6" xfId="0" applyBorder="1" applyAlignment="1" applyProtection="1">
      <alignment vertical="top"/>
      <protection locked="0"/>
    </xf>
    <xf numFmtId="0" fontId="66" fillId="35" borderId="0" xfId="0" applyFont="1" applyFill="1" applyAlignment="1" applyProtection="1">
      <alignment horizontal="center" vertical="center" wrapText="1"/>
      <protection locked="0"/>
    </xf>
    <xf numFmtId="0" fontId="1" fillId="2" borderId="0" xfId="0" applyFont="1" applyFill="1"/>
    <xf numFmtId="0" fontId="145" fillId="0" borderId="0" xfId="0" applyFont="1"/>
    <xf numFmtId="2" fontId="94" fillId="8" borderId="93" xfId="14" applyNumberFormat="1" applyFont="1" applyBorder="1"/>
    <xf numFmtId="0" fontId="94" fillId="8" borderId="93" xfId="14" applyFont="1" applyBorder="1"/>
    <xf numFmtId="0" fontId="79" fillId="7" borderId="93" xfId="12" applyFont="1" applyBorder="1"/>
    <xf numFmtId="0" fontId="67" fillId="0" borderId="4" xfId="2" applyFont="1" applyBorder="1" applyAlignment="1">
      <alignment horizontal="center" vertical="center" wrapText="1"/>
    </xf>
    <xf numFmtId="0" fontId="67" fillId="0" borderId="4" xfId="2" applyFont="1" applyBorder="1" applyAlignment="1">
      <alignment vertical="center" wrapText="1"/>
    </xf>
    <xf numFmtId="0" fontId="79" fillId="7" borderId="169" xfId="12" applyFont="1" applyBorder="1"/>
    <xf numFmtId="0" fontId="79" fillId="7" borderId="173" xfId="12" applyFont="1" applyBorder="1"/>
    <xf numFmtId="0" fontId="67" fillId="0" borderId="3" xfId="2" applyFont="1" applyBorder="1" applyAlignment="1">
      <alignment horizontal="center" vertical="center" wrapText="1"/>
    </xf>
    <xf numFmtId="2" fontId="94" fillId="8" borderId="308" xfId="14" applyNumberFormat="1" applyFont="1" applyBorder="1"/>
    <xf numFmtId="2" fontId="94" fillId="8" borderId="170" xfId="14" applyNumberFormat="1" applyFont="1" applyBorder="1"/>
    <xf numFmtId="0" fontId="54" fillId="0" borderId="6" xfId="2" applyFont="1" applyBorder="1"/>
    <xf numFmtId="0" fontId="2" fillId="35" borderId="0" xfId="0" applyFont="1" applyFill="1"/>
    <xf numFmtId="0" fontId="109" fillId="35" borderId="0" xfId="0" applyFont="1" applyFill="1" applyAlignment="1">
      <alignment vertical="top"/>
    </xf>
    <xf numFmtId="0" fontId="1" fillId="35" borderId="0" xfId="0" applyFont="1" applyFill="1" applyAlignment="1">
      <alignment horizontal="left" indent="1"/>
    </xf>
    <xf numFmtId="0" fontId="0" fillId="35" borderId="0" xfId="0" applyFill="1" applyAlignment="1" applyProtection="1">
      <alignment vertical="top"/>
      <protection locked="0"/>
    </xf>
    <xf numFmtId="0" fontId="45" fillId="8" borderId="172" xfId="14" applyFont="1" applyBorder="1" applyAlignment="1">
      <alignment vertical="center" wrapText="1"/>
    </xf>
    <xf numFmtId="0" fontId="45" fillId="8" borderId="317" xfId="14" applyFont="1" applyBorder="1" applyAlignment="1">
      <alignment vertical="center" wrapText="1"/>
    </xf>
    <xf numFmtId="0" fontId="45" fillId="8" borderId="173" xfId="14" applyFont="1" applyBorder="1" applyAlignment="1">
      <alignment vertical="top" wrapText="1"/>
    </xf>
    <xf numFmtId="0" fontId="45" fillId="8" borderId="20" xfId="14" applyFont="1" applyAlignment="1">
      <alignment vertical="top" wrapText="1"/>
    </xf>
    <xf numFmtId="0" fontId="45" fillId="8" borderId="1" xfId="14" applyFont="1" applyBorder="1" applyAlignment="1">
      <alignment vertical="top"/>
    </xf>
    <xf numFmtId="0" fontId="45" fillId="8" borderId="167" xfId="14" applyFont="1" applyBorder="1" applyAlignment="1">
      <alignment vertical="top" wrapText="1"/>
    </xf>
    <xf numFmtId="0" fontId="45" fillId="8" borderId="161" xfId="14" applyFont="1" applyBorder="1" applyAlignment="1">
      <alignment vertical="top"/>
    </xf>
    <xf numFmtId="0" fontId="45" fillId="8" borderId="2" xfId="14" applyFont="1" applyBorder="1" applyAlignment="1">
      <alignment vertical="top"/>
    </xf>
    <xf numFmtId="0" fontId="45" fillId="8" borderId="88" xfId="14" applyFont="1" applyBorder="1" applyAlignment="1">
      <alignment vertical="top"/>
    </xf>
    <xf numFmtId="0" fontId="45" fillId="8" borderId="318" xfId="14" applyFont="1" applyBorder="1" applyAlignment="1">
      <alignment vertical="top" wrapText="1"/>
    </xf>
    <xf numFmtId="49" fontId="7" fillId="2" borderId="0" xfId="0" applyNumberFormat="1" applyFont="1" applyFill="1" applyAlignment="1">
      <alignment horizontal="left" vertical="top" wrapText="1"/>
    </xf>
    <xf numFmtId="0" fontId="1" fillId="0" borderId="56" xfId="0" applyFont="1" applyBorder="1" applyAlignment="1">
      <alignment horizontal="left" vertical="top" wrapText="1"/>
    </xf>
    <xf numFmtId="0" fontId="7" fillId="49" borderId="5" xfId="0" applyFont="1" applyFill="1" applyBorder="1" applyAlignment="1">
      <alignment horizontal="center" vertical="top"/>
    </xf>
    <xf numFmtId="0" fontId="7" fillId="49" borderId="4" xfId="0" applyFont="1" applyFill="1" applyBorder="1" applyAlignment="1">
      <alignment horizontal="center" vertical="top"/>
    </xf>
    <xf numFmtId="0" fontId="7" fillId="49" borderId="3" xfId="0" applyFont="1" applyFill="1" applyBorder="1" applyAlignment="1">
      <alignment horizontal="center" vertical="top"/>
    </xf>
    <xf numFmtId="0" fontId="7" fillId="3" borderId="3" xfId="0" applyFont="1" applyFill="1" applyBorder="1" applyAlignment="1">
      <alignment horizontal="center" vertical="top"/>
    </xf>
    <xf numFmtId="0" fontId="1" fillId="0" borderId="251" xfId="0" applyFont="1" applyBorder="1" applyAlignment="1">
      <alignment horizontal="left" vertical="top" wrapText="1"/>
    </xf>
    <xf numFmtId="0" fontId="147" fillId="35" borderId="107" xfId="0" applyFont="1" applyFill="1" applyBorder="1" applyAlignment="1">
      <alignment horizontal="left" vertical="top" wrapText="1"/>
    </xf>
    <xf numFmtId="0" fontId="118" fillId="37" borderId="0" xfId="0" applyFont="1" applyFill="1" applyAlignment="1">
      <alignment vertical="center"/>
    </xf>
    <xf numFmtId="0" fontId="149" fillId="39" borderId="0" xfId="0" applyFont="1" applyFill="1" applyAlignment="1">
      <alignment horizontal="left"/>
    </xf>
    <xf numFmtId="0" fontId="118" fillId="39" borderId="0" xfId="0" applyFont="1" applyFill="1" applyAlignment="1">
      <alignment vertical="top"/>
    </xf>
    <xf numFmtId="0" fontId="115" fillId="0" borderId="28" xfId="0" applyFont="1" applyBorder="1" applyAlignment="1">
      <alignment horizontal="center"/>
    </xf>
    <xf numFmtId="0" fontId="0" fillId="0" borderId="0" xfId="0" applyAlignment="1">
      <alignment horizontal="left" vertical="center" wrapText="1"/>
    </xf>
    <xf numFmtId="0" fontId="7" fillId="0" borderId="0" xfId="0" applyFont="1" applyAlignment="1">
      <alignment horizontal="left" vertical="center" wrapText="1"/>
    </xf>
    <xf numFmtId="0" fontId="150" fillId="0" borderId="0" xfId="0" applyFont="1"/>
    <xf numFmtId="0" fontId="151" fillId="0" borderId="0" xfId="0" applyFont="1"/>
    <xf numFmtId="0" fontId="151" fillId="0" borderId="0" xfId="0" applyFont="1" applyAlignment="1">
      <alignment horizontal="left"/>
    </xf>
    <xf numFmtId="0" fontId="37" fillId="8" borderId="20" xfId="54" applyAlignment="1">
      <alignment horizontal="center"/>
    </xf>
    <xf numFmtId="164" fontId="37" fillId="8" borderId="20" xfId="54" applyNumberFormat="1" applyAlignment="1">
      <alignment horizontal="center"/>
    </xf>
    <xf numFmtId="0" fontId="37" fillId="8" borderId="20" xfId="54" applyAlignment="1">
      <alignment horizontal="center" vertical="top" wrapText="1"/>
    </xf>
    <xf numFmtId="0" fontId="37" fillId="8" borderId="20" xfId="54" applyAlignment="1">
      <alignment horizontal="left" vertical="top" wrapText="1"/>
    </xf>
    <xf numFmtId="0" fontId="37" fillId="8" borderId="20" xfId="54" applyAlignment="1">
      <alignment horizontal="left" vertical="top"/>
    </xf>
    <xf numFmtId="165" fontId="37" fillId="8" borderId="20" xfId="54" applyNumberFormat="1" applyAlignment="1">
      <alignment horizontal="center"/>
    </xf>
    <xf numFmtId="2" fontId="37" fillId="8" borderId="20" xfId="54" applyNumberFormat="1" applyAlignment="1">
      <alignment horizontal="center"/>
    </xf>
    <xf numFmtId="166" fontId="37" fillId="8" borderId="20" xfId="54" applyNumberFormat="1" applyAlignment="1">
      <alignment horizontal="centerContinuous"/>
    </xf>
    <xf numFmtId="0" fontId="0" fillId="0" borderId="0" xfId="0" applyAlignment="1">
      <alignment horizontal="right" vertical="top"/>
    </xf>
    <xf numFmtId="0" fontId="8" fillId="0" borderId="180" xfId="0" applyFont="1" applyBorder="1" applyAlignment="1">
      <alignment horizontal="center"/>
    </xf>
    <xf numFmtId="0" fontId="8" fillId="0" borderId="180" xfId="0" applyFont="1" applyBorder="1" applyAlignment="1">
      <alignment horizontal="centerContinuous"/>
    </xf>
    <xf numFmtId="164" fontId="0" fillId="0" borderId="32" xfId="48" applyFont="1" applyFill="1" applyBorder="1" applyAlignment="1"/>
    <xf numFmtId="0" fontId="1" fillId="35" borderId="0" xfId="0" applyFont="1" applyFill="1" applyAlignment="1">
      <alignment horizontal="left" vertical="top" wrapText="1"/>
    </xf>
    <xf numFmtId="0" fontId="1" fillId="35" borderId="0" xfId="0" applyFont="1" applyFill="1"/>
    <xf numFmtId="0" fontId="1" fillId="0" borderId="0" xfId="0" applyFont="1" applyProtection="1">
      <protection locked="0"/>
    </xf>
    <xf numFmtId="0" fontId="1" fillId="35" borderId="103" xfId="0" applyFont="1" applyFill="1" applyBorder="1" applyAlignment="1">
      <alignment horizontal="center" vertical="top"/>
    </xf>
    <xf numFmtId="0" fontId="1" fillId="35" borderId="105" xfId="0" applyFont="1" applyFill="1" applyBorder="1" applyAlignment="1">
      <alignment horizontal="center" vertical="top"/>
    </xf>
    <xf numFmtId="0" fontId="1" fillId="35" borderId="106" xfId="0" applyFont="1" applyFill="1" applyBorder="1" applyAlignment="1">
      <alignment horizontal="center" vertical="top"/>
    </xf>
    <xf numFmtId="0" fontId="1" fillId="35" borderId="108" xfId="0" applyFont="1" applyFill="1" applyBorder="1" applyAlignment="1">
      <alignment horizontal="center" vertical="top"/>
    </xf>
    <xf numFmtId="0" fontId="1" fillId="35" borderId="109" xfId="0" applyFont="1" applyFill="1" applyBorder="1" applyAlignment="1">
      <alignment horizontal="center" vertical="top"/>
    </xf>
    <xf numFmtId="0" fontId="1" fillId="35" borderId="110" xfId="0" applyFont="1" applyFill="1" applyBorder="1" applyAlignment="1">
      <alignment horizontal="center" vertical="top"/>
    </xf>
    <xf numFmtId="0" fontId="1" fillId="35" borderId="111" xfId="0" applyFont="1" applyFill="1" applyBorder="1" applyAlignment="1" applyProtection="1">
      <alignment horizontal="center" vertical="top"/>
      <protection locked="0"/>
    </xf>
    <xf numFmtId="0" fontId="1" fillId="0" borderId="92" xfId="0" applyFont="1" applyBorder="1" applyAlignment="1">
      <alignment horizontal="left" vertical="top" wrapText="1"/>
    </xf>
    <xf numFmtId="0" fontId="1" fillId="0" borderId="56" xfId="0" applyFont="1" applyBorder="1" applyAlignment="1">
      <alignment horizontal="left" vertical="top"/>
    </xf>
    <xf numFmtId="0" fontId="1" fillId="0" borderId="249" xfId="0" applyFont="1" applyBorder="1" applyAlignment="1">
      <alignment horizontal="left" vertical="top"/>
    </xf>
    <xf numFmtId="0" fontId="1" fillId="0" borderId="250" xfId="0" applyFont="1" applyBorder="1" applyAlignment="1">
      <alignment horizontal="left" vertical="top" wrapText="1"/>
    </xf>
    <xf numFmtId="0" fontId="1" fillId="0" borderId="251" xfId="0" applyFont="1" applyBorder="1" applyAlignment="1">
      <alignment horizontal="left" vertical="top"/>
    </xf>
    <xf numFmtId="0" fontId="1" fillId="0" borderId="252" xfId="0" applyFont="1" applyBorder="1" applyAlignment="1">
      <alignment horizontal="left" vertical="top"/>
    </xf>
    <xf numFmtId="0" fontId="1" fillId="0" borderId="0" xfId="0" applyFont="1" applyAlignment="1">
      <alignment horizontal="left" vertical="top" wrapText="1"/>
    </xf>
    <xf numFmtId="0" fontId="1" fillId="0" borderId="0" xfId="0" applyFont="1" applyAlignment="1" applyProtection="1">
      <alignment horizontal="left" vertical="top"/>
      <protection locked="0"/>
    </xf>
    <xf numFmtId="0" fontId="1" fillId="37" borderId="0" xfId="0" applyFont="1" applyFill="1" applyAlignment="1">
      <alignment horizontal="left" vertical="top" wrapText="1"/>
    </xf>
    <xf numFmtId="0" fontId="1" fillId="0" borderId="249" xfId="0" applyFont="1" applyBorder="1" applyAlignment="1">
      <alignment horizontal="left" vertical="top" wrapText="1"/>
    </xf>
    <xf numFmtId="0" fontId="1" fillId="0" borderId="252" xfId="0" applyFont="1" applyBorder="1" applyAlignment="1">
      <alignment horizontal="left" vertical="top" wrapText="1"/>
    </xf>
    <xf numFmtId="0" fontId="1" fillId="0" borderId="0" xfId="0" applyFont="1" applyAlignment="1" applyProtection="1">
      <alignment horizontal="left" vertical="top" wrapText="1"/>
      <protection locked="0"/>
    </xf>
    <xf numFmtId="14" fontId="1" fillId="0" borderId="56" xfId="0" applyNumberFormat="1" applyFont="1" applyBorder="1" applyAlignment="1">
      <alignment horizontal="left" vertical="top" wrapText="1"/>
    </xf>
    <xf numFmtId="0" fontId="1" fillId="0" borderId="249" xfId="0" applyFont="1" applyBorder="1"/>
    <xf numFmtId="0" fontId="1" fillId="0" borderId="252" xfId="0" applyFont="1" applyBorder="1"/>
    <xf numFmtId="172" fontId="1" fillId="37" borderId="27" xfId="0" applyNumberFormat="1" applyFont="1" applyFill="1" applyBorder="1"/>
    <xf numFmtId="172" fontId="1" fillId="37" borderId="28" xfId="0" applyNumberFormat="1" applyFont="1" applyFill="1" applyBorder="1"/>
    <xf numFmtId="172" fontId="1" fillId="0" borderId="28" xfId="0" applyNumberFormat="1" applyFont="1" applyBorder="1"/>
    <xf numFmtId="172" fontId="1" fillId="0" borderId="136" xfId="0" applyNumberFormat="1" applyFont="1" applyBorder="1"/>
    <xf numFmtId="172" fontId="1" fillId="0" borderId="137" xfId="0" applyNumberFormat="1" applyFont="1" applyBorder="1"/>
    <xf numFmtId="172" fontId="1" fillId="0" borderId="29" xfId="0" applyNumberFormat="1" applyFont="1" applyBorder="1"/>
    <xf numFmtId="172" fontId="1" fillId="0" borderId="27" xfId="0" applyNumberFormat="1" applyFont="1" applyBorder="1"/>
    <xf numFmtId="49" fontId="1" fillId="0" borderId="140" xfId="0" applyNumberFormat="1" applyFont="1" applyBorder="1"/>
    <xf numFmtId="172" fontId="1" fillId="3" borderId="139" xfId="0" applyNumberFormat="1" applyFont="1" applyFill="1" applyBorder="1"/>
    <xf numFmtId="172" fontId="1" fillId="0" borderId="141" xfId="0" applyNumberFormat="1" applyFont="1" applyBorder="1"/>
    <xf numFmtId="172" fontId="1" fillId="0" borderId="142" xfId="0" applyNumberFormat="1" applyFont="1" applyBorder="1"/>
    <xf numFmtId="172" fontId="1" fillId="0" borderId="143" xfId="0" applyNumberFormat="1" applyFont="1" applyBorder="1"/>
    <xf numFmtId="172" fontId="1" fillId="0" borderId="144" xfId="0" applyNumberFormat="1" applyFont="1" applyBorder="1"/>
    <xf numFmtId="172" fontId="1" fillId="0" borderId="145" xfId="0" applyNumberFormat="1" applyFont="1" applyBorder="1"/>
    <xf numFmtId="172" fontId="1" fillId="0" borderId="140" xfId="0" applyNumberFormat="1" applyFont="1" applyBorder="1"/>
    <xf numFmtId="172" fontId="1" fillId="0" borderId="139" xfId="0" applyNumberFormat="1" applyFont="1" applyBorder="1"/>
    <xf numFmtId="49" fontId="1" fillId="0" borderId="148" xfId="0" applyNumberFormat="1" applyFont="1" applyBorder="1"/>
    <xf numFmtId="172" fontId="1" fillId="3" borderId="147" xfId="0" applyNumberFormat="1" applyFont="1" applyFill="1" applyBorder="1"/>
    <xf numFmtId="172" fontId="1" fillId="0" borderId="114" xfId="0" applyNumberFormat="1" applyFont="1" applyBorder="1"/>
    <xf numFmtId="172" fontId="1" fillId="0" borderId="150" xfId="0" applyNumberFormat="1" applyFont="1" applyBorder="1"/>
    <xf numFmtId="172" fontId="1" fillId="0" borderId="149" xfId="0" applyNumberFormat="1" applyFont="1" applyBorder="1"/>
    <xf numFmtId="172" fontId="1" fillId="0" borderId="151" xfId="0" applyNumberFormat="1" applyFont="1" applyBorder="1"/>
    <xf numFmtId="172" fontId="1" fillId="0" borderId="115" xfId="0" applyNumberFormat="1" applyFont="1" applyBorder="1"/>
    <xf numFmtId="172" fontId="1" fillId="0" borderId="148" xfId="0" applyNumberFormat="1" applyFont="1" applyBorder="1"/>
    <xf numFmtId="172" fontId="1" fillId="0" borderId="147" xfId="0" applyNumberFormat="1" applyFont="1" applyBorder="1"/>
    <xf numFmtId="172" fontId="1" fillId="3" borderId="149" xfId="0" applyNumberFormat="1" applyFont="1" applyFill="1" applyBorder="1"/>
    <xf numFmtId="49" fontId="1" fillId="0" borderId="130" xfId="0" applyNumberFormat="1" applyFont="1" applyBorder="1"/>
    <xf numFmtId="172" fontId="1" fillId="0" borderId="129" xfId="0" applyNumberFormat="1" applyFont="1" applyBorder="1"/>
    <xf numFmtId="172" fontId="1" fillId="3" borderId="131" xfId="0" applyNumberFormat="1" applyFont="1" applyFill="1" applyBorder="1" applyProtection="1">
      <protection locked="0"/>
    </xf>
    <xf numFmtId="172" fontId="1" fillId="0" borderId="131" xfId="0" applyNumberFormat="1" applyFont="1" applyBorder="1"/>
    <xf numFmtId="172" fontId="1" fillId="0" borderId="132" xfId="0" applyNumberFormat="1" applyFont="1" applyBorder="1"/>
    <xf numFmtId="172" fontId="1" fillId="0" borderId="133" xfId="0" applyNumberFormat="1" applyFont="1" applyBorder="1"/>
    <xf numFmtId="172" fontId="1" fillId="0" borderId="134" xfId="0" applyNumberFormat="1" applyFont="1" applyBorder="1"/>
    <xf numFmtId="172" fontId="1" fillId="0" borderId="135" xfId="0" applyNumberFormat="1" applyFont="1" applyBorder="1"/>
    <xf numFmtId="172" fontId="1" fillId="0" borderId="130" xfId="0" applyNumberFormat="1" applyFont="1" applyBorder="1"/>
    <xf numFmtId="172" fontId="1" fillId="3" borderId="131" xfId="0" applyNumberFormat="1" applyFont="1" applyFill="1" applyBorder="1"/>
    <xf numFmtId="49" fontId="1" fillId="0" borderId="29" xfId="0" applyNumberFormat="1" applyFont="1" applyBorder="1"/>
    <xf numFmtId="172" fontId="1" fillId="37" borderId="136" xfId="0" applyNumberFormat="1" applyFont="1" applyFill="1" applyBorder="1"/>
    <xf numFmtId="172" fontId="1" fillId="37" borderId="137" xfId="0" applyNumberFormat="1" applyFont="1" applyFill="1" applyBorder="1"/>
    <xf numFmtId="172" fontId="1" fillId="3" borderId="114" xfId="0" applyNumberFormat="1" applyFont="1" applyFill="1" applyBorder="1"/>
    <xf numFmtId="172" fontId="1" fillId="3" borderId="150" xfId="0" applyNumberFormat="1" applyFont="1" applyFill="1" applyBorder="1"/>
    <xf numFmtId="172" fontId="1" fillId="3" borderId="151" xfId="0" applyNumberFormat="1" applyFont="1" applyFill="1" applyBorder="1"/>
    <xf numFmtId="172" fontId="1" fillId="3" borderId="115" xfId="0" applyNumberFormat="1" applyFont="1" applyFill="1" applyBorder="1"/>
    <xf numFmtId="172" fontId="1" fillId="37" borderId="29" xfId="0" applyNumberFormat="1" applyFont="1" applyFill="1" applyBorder="1"/>
    <xf numFmtId="172" fontId="1" fillId="3" borderId="148" xfId="0" applyNumberFormat="1" applyFont="1" applyFill="1" applyBorder="1"/>
    <xf numFmtId="172" fontId="1" fillId="3" borderId="141" xfId="0" applyNumberFormat="1" applyFont="1" applyFill="1" applyBorder="1"/>
    <xf numFmtId="49" fontId="1" fillId="0" borderId="267" xfId="0" applyNumberFormat="1" applyFont="1" applyBorder="1"/>
    <xf numFmtId="172" fontId="1" fillId="0" borderId="154" xfId="0" applyNumberFormat="1" applyFont="1" applyBorder="1"/>
    <xf numFmtId="172" fontId="1" fillId="0" borderId="156" xfId="0" applyNumberFormat="1" applyFont="1" applyBorder="1"/>
    <xf numFmtId="172" fontId="1" fillId="0" borderId="157" xfId="0" applyNumberFormat="1" applyFont="1" applyBorder="1"/>
    <xf numFmtId="172" fontId="1" fillId="0" borderId="158" xfId="0" applyNumberFormat="1" applyFont="1" applyBorder="1"/>
    <xf numFmtId="172" fontId="1" fillId="0" borderId="159" xfId="0" applyNumberFormat="1" applyFont="1" applyBorder="1"/>
    <xf numFmtId="172" fontId="1" fillId="0" borderId="160" xfId="0" applyNumberFormat="1" applyFont="1" applyBorder="1"/>
    <xf numFmtId="172" fontId="1" fillId="0" borderId="155" xfId="0" applyNumberFormat="1" applyFont="1" applyBorder="1"/>
    <xf numFmtId="172" fontId="1" fillId="3" borderId="159" xfId="0" applyNumberFormat="1" applyFont="1" applyFill="1" applyBorder="1"/>
    <xf numFmtId="49" fontId="1" fillId="0" borderId="0" xfId="0" applyNumberFormat="1" applyFont="1"/>
    <xf numFmtId="0" fontId="1" fillId="0" borderId="62" xfId="0" applyFont="1" applyBorder="1" applyAlignment="1">
      <alignment horizontal="left" vertical="top" wrapText="1"/>
    </xf>
    <xf numFmtId="167" fontId="1" fillId="0" borderId="62" xfId="0" applyNumberFormat="1" applyFont="1" applyBorder="1" applyAlignment="1">
      <alignment horizontal="left" vertical="top" wrapText="1"/>
    </xf>
    <xf numFmtId="0" fontId="1" fillId="0" borderId="62" xfId="0" quotePrefix="1" applyFont="1" applyBorder="1" applyAlignment="1">
      <alignment horizontal="left" vertical="top" wrapText="1"/>
    </xf>
    <xf numFmtId="10" fontId="1" fillId="0" borderId="56" xfId="0" applyNumberFormat="1" applyFont="1" applyBorder="1" applyAlignment="1">
      <alignment horizontal="left" vertical="top" wrapText="1"/>
    </xf>
    <xf numFmtId="0" fontId="1" fillId="0" borderId="56" xfId="0" quotePrefix="1" applyFont="1" applyBorder="1" applyAlignment="1">
      <alignment horizontal="left" vertical="top" wrapText="1"/>
    </xf>
    <xf numFmtId="0" fontId="1" fillId="39" borderId="0" xfId="0" applyFont="1" applyFill="1"/>
    <xf numFmtId="0" fontId="1" fillId="37" borderId="0" xfId="0" applyFont="1" applyFill="1"/>
    <xf numFmtId="0" fontId="1" fillId="35" borderId="0" xfId="0" applyFont="1" applyFill="1" applyAlignment="1">
      <alignment horizontal="center"/>
    </xf>
    <xf numFmtId="0" fontId="1" fillId="49" borderId="1" xfId="0" applyFont="1" applyFill="1" applyBorder="1"/>
    <xf numFmtId="0" fontId="1" fillId="0" borderId="0" xfId="0" applyFont="1" applyAlignment="1">
      <alignment horizontal="center"/>
    </xf>
    <xf numFmtId="0" fontId="1" fillId="0" borderId="1" xfId="0" applyFont="1" applyBorder="1" applyAlignment="1">
      <alignment horizontal="center"/>
    </xf>
    <xf numFmtId="0" fontId="1" fillId="35" borderId="0" xfId="0" applyFont="1" applyFill="1" applyProtection="1">
      <protection locked="0"/>
    </xf>
    <xf numFmtId="0" fontId="1" fillId="0" borderId="0" xfId="0" applyFont="1" applyAlignment="1">
      <alignment horizontal="center" vertical="center" wrapText="1"/>
    </xf>
    <xf numFmtId="0" fontId="1" fillId="0" borderId="0" xfId="0" applyFont="1" applyAlignment="1">
      <alignment horizontal="center" vertical="center"/>
    </xf>
    <xf numFmtId="0" fontId="1" fillId="0" borderId="0" xfId="0" quotePrefix="1" applyFont="1"/>
    <xf numFmtId="0" fontId="1" fillId="0" borderId="0" xfId="0" applyFont="1" applyAlignment="1" applyProtection="1">
      <alignment horizontal="center" vertical="center"/>
      <protection locked="0"/>
    </xf>
    <xf numFmtId="164" fontId="1" fillId="2" borderId="0" xfId="48" applyFont="1" applyFill="1" applyAlignment="1">
      <alignment horizontal="center" vertical="center"/>
    </xf>
    <xf numFmtId="16" fontId="1" fillId="0" borderId="0" xfId="0" applyNumberFormat="1" applyFont="1" applyAlignment="1">
      <alignment horizontal="center" vertical="center"/>
    </xf>
    <xf numFmtId="164" fontId="1" fillId="0" borderId="0" xfId="48" applyFont="1" applyAlignment="1">
      <alignment horizontal="center" vertical="center"/>
    </xf>
    <xf numFmtId="0" fontId="1" fillId="35" borderId="0" xfId="0" applyFont="1" applyFill="1" applyAlignment="1">
      <alignment vertical="top"/>
    </xf>
    <xf numFmtId="0" fontId="1" fillId="0" borderId="0" xfId="0" applyFont="1" applyAlignment="1">
      <alignment vertical="top"/>
    </xf>
    <xf numFmtId="0" fontId="1" fillId="0" borderId="0" xfId="0" applyFont="1" applyAlignment="1">
      <alignment horizontal="left" vertical="top" wrapText="1" indent="2"/>
    </xf>
    <xf numFmtId="0" fontId="1" fillId="35" borderId="0" xfId="0" applyFont="1" applyFill="1" applyAlignment="1">
      <alignment horizontal="left" wrapText="1" indent="2"/>
    </xf>
    <xf numFmtId="0" fontId="1" fillId="3" borderId="2" xfId="0" applyFont="1" applyFill="1" applyBorder="1" applyAlignment="1">
      <alignment vertical="top"/>
    </xf>
    <xf numFmtId="0" fontId="1" fillId="3" borderId="88" xfId="0" applyFont="1" applyFill="1" applyBorder="1" applyAlignment="1">
      <alignment vertical="top"/>
    </xf>
    <xf numFmtId="0" fontId="1" fillId="3" borderId="9" xfId="0" applyFont="1" applyFill="1" applyBorder="1" applyAlignment="1">
      <alignment vertical="top"/>
    </xf>
    <xf numFmtId="0" fontId="1" fillId="3" borderId="8" xfId="0" applyFont="1" applyFill="1" applyBorder="1" applyAlignment="1">
      <alignment vertical="top"/>
    </xf>
    <xf numFmtId="0" fontId="1" fillId="0" borderId="9" xfId="0" applyFont="1" applyBorder="1" applyAlignment="1">
      <alignment horizontal="left"/>
    </xf>
    <xf numFmtId="0" fontId="1" fillId="0" borderId="7" xfId="0" applyFont="1" applyBorder="1" applyAlignment="1">
      <alignment horizontal="left"/>
    </xf>
    <xf numFmtId="0" fontId="1" fillId="0" borderId="0" xfId="0" applyFont="1" applyAlignment="1">
      <alignment horizontal="left"/>
    </xf>
    <xf numFmtId="0" fontId="1" fillId="0" borderId="171" xfId="0" applyFont="1" applyBorder="1" applyAlignment="1">
      <alignment horizontal="right"/>
    </xf>
    <xf numFmtId="0" fontId="1" fillId="0" borderId="5" xfId="0" applyFont="1" applyBorder="1" applyAlignment="1">
      <alignment horizontal="left"/>
    </xf>
    <xf numFmtId="0" fontId="1" fillId="0" borderId="7" xfId="0" applyFont="1" applyBorder="1" applyAlignment="1">
      <alignment horizontal="right"/>
    </xf>
    <xf numFmtId="0" fontId="1" fillId="0" borderId="5" xfId="0" applyFont="1" applyBorder="1" applyAlignment="1">
      <alignment horizontal="right"/>
    </xf>
    <xf numFmtId="0" fontId="1" fillId="0" borderId="33" xfId="0" applyFont="1" applyBorder="1" applyAlignment="1">
      <alignment horizontal="center"/>
    </xf>
    <xf numFmtId="164" fontId="1" fillId="0" borderId="0" xfId="48" applyFont="1"/>
    <xf numFmtId="0" fontId="1" fillId="0" borderId="0" xfId="0" applyFont="1" applyAlignment="1">
      <alignment wrapText="1"/>
    </xf>
    <xf numFmtId="0" fontId="153" fillId="0" borderId="4" xfId="0" applyFont="1" applyBorder="1"/>
    <xf numFmtId="0" fontId="0" fillId="0" borderId="0" xfId="0" applyAlignment="1">
      <alignment horizontal="left" vertical="top" wrapText="1"/>
    </xf>
    <xf numFmtId="0" fontId="13" fillId="0" borderId="0" xfId="0" applyFont="1" applyAlignment="1">
      <alignment horizontal="left" vertical="top" wrapText="1"/>
    </xf>
    <xf numFmtId="0" fontId="107" fillId="35" borderId="0" xfId="0" applyFont="1" applyFill="1" applyAlignment="1">
      <alignment horizontal="left" vertical="top" wrapText="1"/>
    </xf>
    <xf numFmtId="0" fontId="25" fillId="54" borderId="0" xfId="0" applyFont="1" applyFill="1" applyAlignment="1">
      <alignment horizontal="center"/>
    </xf>
    <xf numFmtId="0" fontId="141" fillId="35" borderId="0" xfId="0" applyFont="1" applyFill="1" applyAlignment="1">
      <alignment horizontal="left" vertical="top" wrapText="1"/>
    </xf>
    <xf numFmtId="0" fontId="114" fillId="59" borderId="0" xfId="0" applyFont="1" applyFill="1" applyAlignment="1">
      <alignment horizontal="center" vertical="center" textRotation="90"/>
    </xf>
    <xf numFmtId="0" fontId="0" fillId="0" borderId="9" xfId="0" applyBorder="1" applyAlignment="1">
      <alignment horizontal="left" vertical="top" wrapText="1"/>
    </xf>
    <xf numFmtId="0" fontId="7" fillId="50" borderId="56" xfId="0" applyFont="1" applyFill="1" applyBorder="1" applyAlignment="1">
      <alignment horizontal="left" vertical="top"/>
    </xf>
    <xf numFmtId="0" fontId="7" fillId="50" borderId="249" xfId="0" applyFont="1" applyFill="1" applyBorder="1" applyAlignment="1">
      <alignment horizontal="left" vertical="top"/>
    </xf>
    <xf numFmtId="0" fontId="7" fillId="50" borderId="295" xfId="0" applyFont="1" applyFill="1" applyBorder="1" applyAlignment="1">
      <alignment horizontal="left" vertical="top"/>
    </xf>
    <xf numFmtId="0" fontId="7" fillId="50" borderId="301" xfId="0" applyFont="1" applyFill="1" applyBorder="1" applyAlignment="1">
      <alignment horizontal="left" vertical="top"/>
    </xf>
    <xf numFmtId="0" fontId="7" fillId="50" borderId="7" xfId="0" applyFont="1" applyFill="1" applyBorder="1" applyAlignment="1">
      <alignment horizontal="left" vertical="top"/>
    </xf>
    <xf numFmtId="0" fontId="7" fillId="50" borderId="0" xfId="0" applyFont="1" applyFill="1" applyAlignment="1">
      <alignment horizontal="left" vertical="top"/>
    </xf>
    <xf numFmtId="0" fontId="7" fillId="50" borderId="296" xfId="0" applyFont="1" applyFill="1" applyBorder="1" applyAlignment="1">
      <alignment horizontal="left" vertical="top"/>
    </xf>
    <xf numFmtId="0" fontId="7" fillId="50" borderId="303" xfId="0" applyFont="1" applyFill="1" applyBorder="1" applyAlignment="1">
      <alignment horizontal="left" vertical="top"/>
    </xf>
    <xf numFmtId="0" fontId="0" fillId="0" borderId="302" xfId="0" applyBorder="1" applyAlignment="1">
      <alignment horizontal="center" vertical="top"/>
    </xf>
    <xf numFmtId="0" fontId="0" fillId="0" borderId="296" xfId="0" applyBorder="1" applyAlignment="1">
      <alignment horizontal="center" vertical="top"/>
    </xf>
    <xf numFmtId="0" fontId="0" fillId="0" borderId="7" xfId="0" applyBorder="1" applyAlignment="1">
      <alignment horizontal="center" vertical="top"/>
    </xf>
    <xf numFmtId="0" fontId="0" fillId="0" borderId="0" xfId="0" applyAlignment="1">
      <alignment horizontal="center" vertical="top"/>
    </xf>
    <xf numFmtId="0" fontId="0" fillId="0" borderId="252" xfId="0" applyBorder="1" applyAlignment="1">
      <alignment horizontal="center" vertical="top"/>
    </xf>
    <xf numFmtId="0" fontId="0" fillId="0" borderId="250" xfId="0" applyBorder="1" applyAlignment="1">
      <alignment horizontal="center" vertical="top"/>
    </xf>
    <xf numFmtId="0" fontId="0" fillId="0" borderId="297" xfId="0" applyBorder="1" applyAlignment="1">
      <alignment horizontal="center" vertical="top"/>
    </xf>
    <xf numFmtId="0" fontId="0" fillId="0" borderId="294" xfId="0" applyBorder="1" applyAlignment="1">
      <alignment horizontal="center" vertical="top"/>
    </xf>
    <xf numFmtId="0" fontId="0" fillId="0" borderId="297" xfId="0" applyBorder="1" applyAlignment="1" applyProtection="1">
      <alignment horizontal="center" vertical="top"/>
      <protection locked="0"/>
    </xf>
    <xf numFmtId="0" fontId="0" fillId="0" borderId="248" xfId="0" applyBorder="1" applyAlignment="1">
      <alignment horizontal="center" vertical="top"/>
    </xf>
    <xf numFmtId="0" fontId="0" fillId="0" borderId="247" xfId="0" applyBorder="1" applyAlignment="1">
      <alignment horizontal="center" vertical="top"/>
    </xf>
    <xf numFmtId="0" fontId="7" fillId="50" borderId="92" xfId="0" applyFont="1" applyFill="1" applyBorder="1" applyAlignment="1">
      <alignment horizontal="left" vertical="top"/>
    </xf>
    <xf numFmtId="0" fontId="7" fillId="50" borderId="57" xfId="0" applyFont="1" applyFill="1" applyBorder="1" applyAlignment="1">
      <alignment horizontal="left" vertical="top"/>
    </xf>
    <xf numFmtId="0" fontId="0" fillId="0" borderId="56" xfId="0" applyBorder="1" applyAlignment="1">
      <alignment horizontal="center" vertical="top"/>
    </xf>
    <xf numFmtId="0" fontId="0" fillId="0" borderId="57" xfId="0" applyBorder="1" applyAlignment="1">
      <alignment horizontal="center" vertical="top"/>
    </xf>
    <xf numFmtId="0" fontId="0" fillId="0" borderId="55" xfId="0" applyBorder="1" applyAlignment="1">
      <alignment horizontal="left" vertical="top"/>
    </xf>
    <xf numFmtId="0" fontId="0" fillId="0" borderId="56" xfId="0" applyBorder="1" applyAlignment="1">
      <alignment horizontal="left" vertical="top"/>
    </xf>
    <xf numFmtId="0" fontId="0" fillId="0" borderId="58" xfId="0" applyBorder="1" applyAlignment="1">
      <alignment horizontal="left" vertical="top"/>
    </xf>
    <xf numFmtId="0" fontId="0" fillId="0" borderId="59" xfId="0" applyBorder="1" applyAlignment="1">
      <alignment horizontal="left" vertical="top"/>
    </xf>
    <xf numFmtId="0" fontId="0" fillId="0" borderId="59" xfId="0" applyBorder="1" applyAlignment="1">
      <alignment horizontal="center" vertical="top"/>
    </xf>
    <xf numFmtId="0" fontId="0" fillId="0" borderId="60" xfId="0" applyBorder="1" applyAlignment="1">
      <alignment horizontal="center" vertical="top"/>
    </xf>
    <xf numFmtId="0" fontId="7" fillId="50" borderId="53" xfId="0" applyFont="1" applyFill="1" applyBorder="1" applyAlignment="1">
      <alignment vertical="top"/>
    </xf>
    <xf numFmtId="0" fontId="7" fillId="50" borderId="54" xfId="0" applyFont="1" applyFill="1" applyBorder="1" applyAlignment="1">
      <alignment vertical="top"/>
    </xf>
    <xf numFmtId="0" fontId="7" fillId="50" borderId="298" xfId="0" applyFont="1" applyFill="1" applyBorder="1" applyAlignment="1">
      <alignment horizontal="left" vertical="top"/>
    </xf>
    <xf numFmtId="0" fontId="7" fillId="50" borderId="299" xfId="0" applyFont="1" applyFill="1" applyBorder="1" applyAlignment="1">
      <alignment horizontal="left" vertical="top"/>
    </xf>
    <xf numFmtId="0" fontId="7" fillId="50" borderId="91" xfId="0" applyFont="1" applyFill="1" applyBorder="1" applyAlignment="1">
      <alignment horizontal="left" vertical="top"/>
    </xf>
    <xf numFmtId="0" fontId="0" fillId="0" borderId="300" xfId="0" applyBorder="1" applyAlignment="1">
      <alignment horizontal="left" vertical="top"/>
    </xf>
    <xf numFmtId="0" fontId="0" fillId="0" borderId="295" xfId="0" applyBorder="1" applyAlignment="1">
      <alignment horizontal="left" vertical="top"/>
    </xf>
    <xf numFmtId="0" fontId="0" fillId="0" borderId="92" xfId="0" applyBorder="1" applyAlignment="1">
      <alignment horizontal="left" vertical="top"/>
    </xf>
    <xf numFmtId="0" fontId="0" fillId="0" borderId="6" xfId="0" applyBorder="1" applyAlignment="1">
      <alignment horizontal="center" vertical="top"/>
    </xf>
    <xf numFmtId="0" fontId="7" fillId="50" borderId="300" xfId="0" applyFont="1" applyFill="1" applyBorder="1" applyAlignment="1">
      <alignment horizontal="left" vertical="top"/>
    </xf>
    <xf numFmtId="0" fontId="7" fillId="50" borderId="55" xfId="0" applyFont="1" applyFill="1" applyBorder="1" applyAlignment="1">
      <alignment horizontal="left" vertical="top"/>
    </xf>
    <xf numFmtId="0" fontId="1" fillId="35" borderId="108" xfId="0" applyFont="1" applyFill="1" applyBorder="1" applyAlignment="1">
      <alignment horizontal="left"/>
    </xf>
    <xf numFmtId="0" fontId="1" fillId="35" borderId="112" xfId="0" applyFont="1" applyFill="1" applyBorder="1" applyAlignment="1">
      <alignment horizontal="left"/>
    </xf>
    <xf numFmtId="0" fontId="1" fillId="35" borderId="106" xfId="0" applyFont="1" applyFill="1" applyBorder="1" applyAlignment="1">
      <alignment horizontal="left"/>
    </xf>
    <xf numFmtId="15" fontId="66" fillId="35" borderId="0" xfId="0" applyNumberFormat="1" applyFont="1" applyFill="1" applyAlignment="1">
      <alignment horizontal="left"/>
    </xf>
    <xf numFmtId="0" fontId="64" fillId="50" borderId="0" xfId="0" applyFont="1" applyFill="1" applyAlignment="1">
      <alignment horizontal="center" vertical="center" wrapText="1"/>
    </xf>
    <xf numFmtId="0" fontId="64" fillId="49" borderId="0" xfId="0" applyFont="1" applyFill="1" applyAlignment="1">
      <alignment horizontal="center" vertical="center" wrapText="1"/>
    </xf>
    <xf numFmtId="0" fontId="64" fillId="3" borderId="0" xfId="0" applyFont="1" applyFill="1" applyAlignment="1">
      <alignment horizontal="center" vertical="top" wrapText="1"/>
    </xf>
    <xf numFmtId="0" fontId="64" fillId="3" borderId="113" xfId="0" applyFont="1" applyFill="1" applyBorder="1" applyAlignment="1">
      <alignment horizontal="center" vertical="top" wrapText="1"/>
    </xf>
    <xf numFmtId="0" fontId="7" fillId="39" borderId="7" xfId="0" applyFont="1" applyFill="1" applyBorder="1" applyAlignment="1">
      <alignment horizontal="center" vertical="top"/>
    </xf>
    <xf numFmtId="0" fontId="7" fillId="39" borderId="0" xfId="0" applyFont="1" applyFill="1" applyAlignment="1">
      <alignment horizontal="center" vertical="top"/>
    </xf>
    <xf numFmtId="0" fontId="7" fillId="39" borderId="6" xfId="0" applyFont="1" applyFill="1" applyBorder="1" applyAlignment="1">
      <alignment horizontal="center" vertical="top"/>
    </xf>
    <xf numFmtId="0" fontId="7" fillId="62" borderId="7" xfId="0" applyFont="1" applyFill="1" applyBorder="1" applyAlignment="1">
      <alignment horizontal="center" vertical="top"/>
    </xf>
    <xf numFmtId="0" fontId="7" fillId="62" borderId="0" xfId="0" applyFont="1" applyFill="1" applyAlignment="1">
      <alignment horizontal="center" vertical="top"/>
    </xf>
    <xf numFmtId="0" fontId="7" fillId="62" borderId="6" xfId="0" applyFont="1" applyFill="1" applyBorder="1" applyAlignment="1">
      <alignment horizontal="center" vertical="top"/>
    </xf>
    <xf numFmtId="0" fontId="48" fillId="0" borderId="122" xfId="0" applyFont="1" applyBorder="1" applyAlignment="1">
      <alignment horizontal="center"/>
    </xf>
    <xf numFmtId="0" fontId="48" fillId="0" borderId="124" xfId="0" applyFont="1" applyBorder="1" applyAlignment="1">
      <alignment horizontal="center"/>
    </xf>
    <xf numFmtId="0" fontId="48" fillId="0" borderId="125" xfId="0" applyFont="1" applyBorder="1" applyAlignment="1">
      <alignment horizontal="center"/>
    </xf>
    <xf numFmtId="0" fontId="48" fillId="0" borderId="126" xfId="0" applyFont="1" applyBorder="1" applyAlignment="1">
      <alignment horizontal="center"/>
    </xf>
    <xf numFmtId="0" fontId="48" fillId="0" borderId="127" xfId="0" applyFont="1" applyBorder="1" applyAlignment="1">
      <alignment horizontal="center"/>
    </xf>
    <xf numFmtId="0" fontId="48" fillId="0" borderId="128" xfId="0" applyFont="1" applyBorder="1" applyAlignment="1">
      <alignment horizontal="center"/>
    </xf>
    <xf numFmtId="49" fontId="48" fillId="0" borderId="122" xfId="0" applyNumberFormat="1" applyFont="1" applyBorder="1" applyAlignment="1">
      <alignment horizontal="center"/>
    </xf>
    <xf numFmtId="49" fontId="48" fillId="0" borderId="129" xfId="0" applyNumberFormat="1" applyFont="1" applyBorder="1" applyAlignment="1">
      <alignment horizontal="center"/>
    </xf>
    <xf numFmtId="49" fontId="48" fillId="0" borderId="123" xfId="0" applyNumberFormat="1" applyFont="1" applyBorder="1" applyAlignment="1">
      <alignment horizontal="center"/>
    </xf>
    <xf numFmtId="49" fontId="48" fillId="0" borderId="130" xfId="0" applyNumberFormat="1" applyFont="1" applyBorder="1" applyAlignment="1">
      <alignment horizontal="center"/>
    </xf>
    <xf numFmtId="0" fontId="67" fillId="40" borderId="30" xfId="50" applyFont="1" applyFill="1" applyBorder="1" applyAlignment="1">
      <alignment horizontal="center" vertical="center" wrapText="1"/>
    </xf>
    <xf numFmtId="0" fontId="67" fillId="40" borderId="0" xfId="50" applyFont="1" applyFill="1" applyAlignment="1">
      <alignment horizontal="center" vertical="center" wrapText="1"/>
    </xf>
    <xf numFmtId="0" fontId="67" fillId="40" borderId="213" xfId="50" applyFont="1" applyFill="1" applyBorder="1" applyAlignment="1">
      <alignment horizontal="center" vertical="center" wrapText="1"/>
    </xf>
    <xf numFmtId="0" fontId="67" fillId="40" borderId="215" xfId="50" applyFont="1" applyFill="1" applyBorder="1" applyAlignment="1">
      <alignment horizontal="center" vertical="center" wrapText="1"/>
    </xf>
    <xf numFmtId="0" fontId="71" fillId="36" borderId="73" xfId="50" applyFont="1" applyFill="1" applyBorder="1" applyAlignment="1">
      <alignment horizontal="left" vertical="center" wrapText="1"/>
    </xf>
    <xf numFmtId="0" fontId="71" fillId="36" borderId="4" xfId="50" applyFont="1" applyFill="1" applyBorder="1" applyAlignment="1">
      <alignment horizontal="left" vertical="center" wrapText="1"/>
    </xf>
    <xf numFmtId="0" fontId="117" fillId="3" borderId="49" xfId="53" applyFont="1" applyFill="1" applyBorder="1" applyAlignment="1">
      <alignment horizontal="center" vertical="center"/>
    </xf>
    <xf numFmtId="0" fontId="117" fillId="3" borderId="50" xfId="53" applyFont="1" applyFill="1" applyBorder="1" applyAlignment="1">
      <alignment horizontal="center" vertical="center"/>
    </xf>
    <xf numFmtId="0" fontId="117" fillId="3" borderId="14" xfId="53" applyFont="1" applyFill="1" applyBorder="1" applyAlignment="1">
      <alignment horizontal="center" vertical="center"/>
    </xf>
    <xf numFmtId="0" fontId="47" fillId="37" borderId="0" xfId="0" applyFont="1" applyFill="1" applyAlignment="1">
      <alignment horizontal="left" vertical="top"/>
    </xf>
    <xf numFmtId="0" fontId="47" fillId="37" borderId="0" xfId="0" applyFont="1" applyFill="1" applyAlignment="1">
      <alignment horizontal="center" vertical="top"/>
    </xf>
    <xf numFmtId="0" fontId="100" fillId="44" borderId="241" xfId="52" applyFont="1" applyFill="1" applyBorder="1" applyAlignment="1">
      <alignment horizontal="center" vertical="center" wrapText="1"/>
    </xf>
    <xf numFmtId="0" fontId="101" fillId="44" borderId="242" xfId="0" applyFont="1" applyFill="1" applyBorder="1" applyAlignment="1">
      <alignment horizontal="center" vertical="center" wrapText="1"/>
    </xf>
    <xf numFmtId="0" fontId="101" fillId="44" borderId="243" xfId="0" applyFont="1" applyFill="1" applyBorder="1" applyAlignment="1">
      <alignment horizontal="center" vertical="center" wrapText="1"/>
    </xf>
    <xf numFmtId="0" fontId="7" fillId="51" borderId="1" xfId="0" applyFont="1" applyFill="1" applyBorder="1" applyAlignment="1">
      <alignment horizontal="center" vertical="center" wrapText="1"/>
    </xf>
    <xf numFmtId="0" fontId="7" fillId="51" borderId="34" xfId="0" applyFont="1" applyFill="1" applyBorder="1" applyAlignment="1">
      <alignment horizontal="center" vertical="center" wrapText="1"/>
    </xf>
    <xf numFmtId="0" fontId="7" fillId="51" borderId="161" xfId="0" applyFont="1" applyFill="1" applyBorder="1" applyAlignment="1">
      <alignment horizontal="center" vertical="center" wrapText="1"/>
    </xf>
    <xf numFmtId="0" fontId="7" fillId="51" borderId="2" xfId="0" applyFont="1" applyFill="1" applyBorder="1" applyAlignment="1">
      <alignment horizontal="center" vertical="center" wrapText="1"/>
    </xf>
    <xf numFmtId="0" fontId="0" fillId="0" borderId="2" xfId="0" applyBorder="1" applyAlignment="1">
      <alignment horizontal="center" vertical="center" wrapText="1"/>
    </xf>
    <xf numFmtId="0" fontId="99" fillId="44" borderId="236" xfId="0" applyFont="1" applyFill="1" applyBorder="1" applyAlignment="1">
      <alignment horizontal="center" vertical="center" wrapText="1"/>
    </xf>
    <xf numFmtId="0" fontId="99" fillId="44" borderId="237" xfId="0" applyFont="1" applyFill="1" applyBorder="1" applyAlignment="1">
      <alignment horizontal="center" vertical="center" wrapText="1"/>
    </xf>
    <xf numFmtId="0" fontId="99" fillId="44" borderId="238" xfId="0" applyFont="1" applyFill="1" applyBorder="1" applyAlignment="1">
      <alignment horizontal="center" vertical="center" wrapText="1"/>
    </xf>
    <xf numFmtId="0" fontId="99" fillId="44" borderId="239" xfId="0" applyFont="1" applyFill="1" applyBorder="1" applyAlignment="1">
      <alignment horizontal="center" vertical="center" wrapText="1"/>
    </xf>
    <xf numFmtId="0" fontId="99" fillId="44" borderId="50" xfId="0" applyFont="1" applyFill="1" applyBorder="1" applyAlignment="1">
      <alignment horizontal="center" vertical="center" wrapText="1"/>
    </xf>
    <xf numFmtId="0" fontId="99" fillId="44" borderId="240" xfId="0" applyFont="1" applyFill="1" applyBorder="1" applyAlignment="1">
      <alignment horizontal="center" vertical="center" wrapText="1"/>
    </xf>
    <xf numFmtId="0" fontId="7" fillId="0" borderId="227" xfId="0" applyFont="1" applyBorder="1" applyAlignment="1">
      <alignment horizontal="center" vertical="center" wrapText="1"/>
    </xf>
    <xf numFmtId="0" fontId="7" fillId="51" borderId="88" xfId="0" applyFont="1" applyFill="1" applyBorder="1" applyAlignment="1">
      <alignment horizontal="center" vertical="center" wrapText="1"/>
    </xf>
    <xf numFmtId="173" fontId="7" fillId="53" borderId="161" xfId="0" applyNumberFormat="1" applyFont="1" applyFill="1" applyBorder="1" applyAlignment="1">
      <alignment horizontal="center" vertical="center" wrapText="1"/>
    </xf>
    <xf numFmtId="173" fontId="7" fillId="53" borderId="2" xfId="0" applyNumberFormat="1" applyFont="1" applyFill="1" applyBorder="1" applyAlignment="1">
      <alignment horizontal="center" vertical="center" wrapText="1"/>
    </xf>
    <xf numFmtId="173" fontId="7" fillId="53" borderId="88" xfId="0" applyNumberFormat="1" applyFont="1" applyFill="1" applyBorder="1" applyAlignment="1">
      <alignment horizontal="center" vertical="center" wrapText="1"/>
    </xf>
    <xf numFmtId="0" fontId="7" fillId="0" borderId="0" xfId="0" applyFont="1" applyAlignment="1">
      <alignment horizontal="center" vertical="center" wrapText="1"/>
    </xf>
    <xf numFmtId="0" fontId="12" fillId="51" borderId="226" xfId="0" applyFont="1" applyFill="1" applyBorder="1" applyAlignment="1">
      <alignment horizontal="center" vertical="center" wrapText="1"/>
    </xf>
    <xf numFmtId="0" fontId="7" fillId="51" borderId="225" xfId="0" applyFont="1" applyFill="1" applyBorder="1" applyAlignment="1">
      <alignment horizontal="center" vertical="center" wrapText="1"/>
    </xf>
    <xf numFmtId="0" fontId="7" fillId="51" borderId="229" xfId="0" applyFont="1" applyFill="1" applyBorder="1" applyAlignment="1">
      <alignment horizontal="center" vertical="center" wrapText="1"/>
    </xf>
    <xf numFmtId="0" fontId="7" fillId="51" borderId="226" xfId="0" applyFont="1" applyFill="1" applyBorder="1" applyAlignment="1">
      <alignment horizontal="center" vertical="center" wrapText="1"/>
    </xf>
    <xf numFmtId="0" fontId="7" fillId="0" borderId="0" xfId="0" applyFont="1" applyAlignment="1">
      <alignment horizontal="center"/>
    </xf>
    <xf numFmtId="0" fontId="83" fillId="0" borderId="10" xfId="2" applyFont="1" applyBorder="1" applyAlignment="1">
      <alignment horizontal="center" vertical="center"/>
    </xf>
    <xf numFmtId="0" fontId="83" fillId="0" borderId="9" xfId="2" applyFont="1" applyBorder="1" applyAlignment="1">
      <alignment horizontal="center" vertical="center"/>
    </xf>
    <xf numFmtId="0" fontId="83" fillId="0" borderId="8" xfId="2" applyFont="1" applyBorder="1" applyAlignment="1">
      <alignment horizontal="center" vertical="center"/>
    </xf>
    <xf numFmtId="0" fontId="83" fillId="0" borderId="0" xfId="2" applyFont="1" applyAlignment="1">
      <alignment horizontal="center" vertical="center"/>
    </xf>
    <xf numFmtId="0" fontId="69" fillId="0" borderId="43" xfId="0" applyFont="1" applyBorder="1" applyAlignment="1">
      <alignment horizontal="center" vertical="center" wrapText="1"/>
    </xf>
    <xf numFmtId="0" fontId="69" fillId="0" borderId="44" xfId="0" applyFont="1" applyBorder="1" applyAlignment="1">
      <alignment horizontal="center" vertical="center" wrapText="1"/>
    </xf>
    <xf numFmtId="0" fontId="69" fillId="0" borderId="45" xfId="0" applyFont="1" applyBorder="1" applyAlignment="1">
      <alignment horizontal="center" vertical="center" wrapText="1"/>
    </xf>
    <xf numFmtId="0" fontId="69" fillId="0" borderId="36" xfId="0" applyFont="1" applyBorder="1" applyAlignment="1">
      <alignment horizontal="center" vertical="center" wrapText="1"/>
    </xf>
    <xf numFmtId="0" fontId="69" fillId="0" borderId="46" xfId="0" applyFont="1" applyBorder="1" applyAlignment="1">
      <alignment horizontal="center" vertical="center" wrapText="1"/>
    </xf>
    <xf numFmtId="0" fontId="69" fillId="0" borderId="47" xfId="0" applyFont="1" applyBorder="1" applyAlignment="1">
      <alignment horizontal="center" vertical="center" wrapText="1"/>
    </xf>
    <xf numFmtId="0" fontId="93" fillId="0" borderId="0" xfId="0" applyFont="1" applyAlignment="1">
      <alignment horizontal="center"/>
    </xf>
    <xf numFmtId="0" fontId="25" fillId="36" borderId="222" xfId="0" applyFont="1" applyFill="1" applyBorder="1" applyAlignment="1">
      <alignment horizontal="left" vertical="top" wrapText="1"/>
    </xf>
    <xf numFmtId="0" fontId="25" fillId="36" borderId="223" xfId="0" applyFont="1" applyFill="1" applyBorder="1" applyAlignment="1">
      <alignment horizontal="left" vertical="top" wrapText="1"/>
    </xf>
    <xf numFmtId="0" fontId="25" fillId="36" borderId="224" xfId="0" applyFont="1" applyFill="1" applyBorder="1" applyAlignment="1">
      <alignment horizontal="left" vertical="top" wrapText="1"/>
    </xf>
    <xf numFmtId="0" fontId="25" fillId="57" borderId="222" xfId="0" applyFont="1" applyFill="1" applyBorder="1" applyAlignment="1">
      <alignment horizontal="left" vertical="top" wrapText="1"/>
    </xf>
    <xf numFmtId="0" fontId="25" fillId="57" borderId="223" xfId="0" applyFont="1" applyFill="1" applyBorder="1" applyAlignment="1">
      <alignment horizontal="left" vertical="top" wrapText="1"/>
    </xf>
    <xf numFmtId="0" fontId="25" fillId="57" borderId="224" xfId="0" applyFont="1" applyFill="1" applyBorder="1" applyAlignment="1">
      <alignment horizontal="left" vertical="top" wrapText="1"/>
    </xf>
    <xf numFmtId="0" fontId="25" fillId="54" borderId="94" xfId="0" applyFont="1" applyFill="1" applyBorder="1" applyAlignment="1">
      <alignment horizontal="center" vertical="top" wrapText="1"/>
    </xf>
    <xf numFmtId="0" fontId="25" fillId="54" borderId="95" xfId="0" applyFont="1" applyFill="1" applyBorder="1" applyAlignment="1">
      <alignment horizontal="center" vertical="top" wrapText="1"/>
    </xf>
    <xf numFmtId="0" fontId="25" fillId="56" borderId="52" xfId="0" applyFont="1" applyFill="1" applyBorder="1" applyAlignment="1">
      <alignment horizontal="left" vertical="center"/>
    </xf>
    <xf numFmtId="0" fontId="25" fillId="56" borderId="54" xfId="0" applyFont="1" applyFill="1" applyBorder="1" applyAlignment="1">
      <alignment horizontal="left" vertical="center"/>
    </xf>
    <xf numFmtId="0" fontId="25" fillId="54" borderId="55" xfId="0" applyFont="1" applyFill="1" applyBorder="1" applyAlignment="1">
      <alignment horizontal="left" vertical="top"/>
    </xf>
    <xf numFmtId="0" fontId="25" fillId="54" borderId="57" xfId="0" applyFont="1" applyFill="1" applyBorder="1" applyAlignment="1">
      <alignment horizontal="left" vertical="top"/>
    </xf>
    <xf numFmtId="0" fontId="25" fillId="54" borderId="55" xfId="0" applyFont="1" applyFill="1" applyBorder="1" applyAlignment="1">
      <alignment horizontal="left" vertical="top" wrapText="1"/>
    </xf>
    <xf numFmtId="0" fontId="25" fillId="54" borderId="57" xfId="0" applyFont="1" applyFill="1" applyBorder="1" applyAlignment="1">
      <alignment horizontal="left" vertical="top" wrapText="1"/>
    </xf>
    <xf numFmtId="0" fontId="27" fillId="54" borderId="55" xfId="0" applyFont="1" applyFill="1" applyBorder="1" applyAlignment="1">
      <alignment horizontal="center" vertical="center" wrapText="1"/>
    </xf>
    <xf numFmtId="0" fontId="7" fillId="39" borderId="52" xfId="0" applyFont="1" applyFill="1" applyBorder="1" applyAlignment="1">
      <alignment horizontal="center" vertical="top"/>
    </xf>
    <xf numFmtId="0" fontId="7" fillId="39" borderId="54" xfId="0" applyFont="1" applyFill="1" applyBorder="1" applyAlignment="1">
      <alignment horizontal="center" vertical="top"/>
    </xf>
    <xf numFmtId="0" fontId="1" fillId="35" borderId="0" xfId="0" applyFont="1" applyFill="1" applyAlignment="1">
      <alignment horizontal="left" vertical="top" wrapText="1" indent="1"/>
    </xf>
    <xf numFmtId="0" fontId="45" fillId="8" borderId="161" xfId="14" applyFont="1" applyBorder="1" applyAlignment="1">
      <alignment vertical="top" wrapText="1"/>
    </xf>
    <xf numFmtId="0" fontId="45" fillId="8" borderId="2" xfId="14" applyFont="1" applyBorder="1" applyAlignment="1">
      <alignment vertical="top" wrapText="1"/>
    </xf>
    <xf numFmtId="0" fontId="45" fillId="8" borderId="88" xfId="14" applyFont="1" applyBorder="1" applyAlignment="1">
      <alignment vertical="top" wrapText="1"/>
    </xf>
    <xf numFmtId="0" fontId="7" fillId="62" borderId="294" xfId="0" applyFont="1" applyFill="1" applyBorder="1" applyAlignment="1">
      <alignment horizontal="center" vertical="center" wrapText="1"/>
    </xf>
    <xf numFmtId="0" fontId="1" fillId="35" borderId="309" xfId="0" applyFont="1" applyFill="1" applyBorder="1" applyAlignment="1">
      <alignment horizontal="left" vertical="top" wrapText="1"/>
    </xf>
    <xf numFmtId="0" fontId="1" fillId="35" borderId="310" xfId="0" applyFont="1" applyFill="1" applyBorder="1" applyAlignment="1">
      <alignment horizontal="left" vertical="top" wrapText="1"/>
    </xf>
    <xf numFmtId="0" fontId="1" fillId="35" borderId="311" xfId="0" applyFont="1" applyFill="1" applyBorder="1" applyAlignment="1">
      <alignment horizontal="left" vertical="top" wrapText="1"/>
    </xf>
    <xf numFmtId="0" fontId="1" fillId="35" borderId="312" xfId="0" applyFont="1" applyFill="1" applyBorder="1" applyAlignment="1">
      <alignment horizontal="left" vertical="top" wrapText="1"/>
    </xf>
    <xf numFmtId="0" fontId="1" fillId="35" borderId="0" xfId="0" applyFont="1" applyFill="1" applyAlignment="1">
      <alignment horizontal="left" vertical="top" wrapText="1"/>
    </xf>
    <xf numFmtId="0" fontId="1" fillId="35" borderId="313" xfId="0" applyFont="1" applyFill="1" applyBorder="1" applyAlignment="1">
      <alignment horizontal="left" vertical="top" wrapText="1"/>
    </xf>
    <xf numFmtId="0" fontId="1" fillId="35" borderId="314" xfId="0" applyFont="1" applyFill="1" applyBorder="1" applyAlignment="1">
      <alignment horizontal="left" vertical="top" wrapText="1"/>
    </xf>
    <xf numFmtId="0" fontId="1" fillId="35" borderId="315" xfId="0" applyFont="1" applyFill="1" applyBorder="1" applyAlignment="1">
      <alignment horizontal="left" vertical="top" wrapText="1"/>
    </xf>
    <xf numFmtId="0" fontId="1" fillId="35" borderId="316" xfId="0" applyFont="1" applyFill="1" applyBorder="1" applyAlignment="1">
      <alignment horizontal="left" vertical="top" wrapText="1"/>
    </xf>
    <xf numFmtId="0" fontId="45" fillId="8" borderId="20" xfId="14" applyFont="1" applyAlignment="1">
      <alignment horizontal="left" vertical="center" wrapText="1"/>
    </xf>
    <xf numFmtId="0" fontId="43" fillId="0" borderId="161" xfId="0" applyFont="1" applyBorder="1" applyAlignment="1">
      <alignment horizontal="center"/>
    </xf>
    <xf numFmtId="0" fontId="43" fillId="0" borderId="2" xfId="0" applyFont="1" applyBorder="1" applyAlignment="1">
      <alignment horizontal="center"/>
    </xf>
    <xf numFmtId="0" fontId="43" fillId="0" borderId="88" xfId="0" applyFont="1" applyBorder="1" applyAlignment="1">
      <alignment horizontal="center"/>
    </xf>
    <xf numFmtId="0" fontId="43" fillId="0" borderId="161" xfId="0" applyFont="1" applyBorder="1" applyAlignment="1">
      <alignment horizontal="left"/>
    </xf>
    <xf numFmtId="0" fontId="43" fillId="0" borderId="88" xfId="0" applyFont="1" applyBorder="1" applyAlignment="1">
      <alignment horizontal="left"/>
    </xf>
    <xf numFmtId="0" fontId="44" fillId="7" borderId="20" xfId="12" applyFont="1" applyAlignment="1">
      <alignment horizontal="center" wrapText="1"/>
    </xf>
    <xf numFmtId="0" fontId="79" fillId="7" borderId="20" xfId="12" applyFont="1" applyAlignment="1">
      <alignment horizontal="center" wrapText="1"/>
    </xf>
    <xf numFmtId="0" fontId="55" fillId="47" borderId="0" xfId="2" applyFont="1" applyFill="1" applyAlignment="1">
      <alignment horizontal="center" vertical="center" wrapText="1"/>
    </xf>
    <xf numFmtId="0" fontId="61" fillId="47" borderId="31" xfId="2" applyFont="1" applyFill="1" applyBorder="1" applyAlignment="1">
      <alignment horizontal="center" wrapText="1"/>
    </xf>
    <xf numFmtId="0" fontId="61" fillId="47" borderId="32" xfId="2" applyFont="1" applyFill="1" applyBorder="1" applyAlignment="1">
      <alignment horizontal="center" wrapText="1"/>
    </xf>
    <xf numFmtId="0" fontId="61" fillId="47" borderId="16" xfId="2" applyFont="1" applyFill="1" applyBorder="1" applyAlignment="1">
      <alignment horizontal="center" wrapText="1"/>
    </xf>
    <xf numFmtId="0" fontId="55" fillId="47" borderId="30" xfId="2" applyFont="1" applyFill="1" applyBorder="1" applyAlignment="1">
      <alignment horizontal="left" wrapText="1"/>
    </xf>
    <xf numFmtId="0" fontId="55" fillId="47" borderId="0" xfId="2" applyFont="1" applyFill="1" applyAlignment="1">
      <alignment horizontal="left" wrapText="1"/>
    </xf>
    <xf numFmtId="0" fontId="55" fillId="47" borderId="15" xfId="2" applyFont="1" applyFill="1" applyBorder="1" applyAlignment="1">
      <alignment horizontal="left" wrapText="1"/>
    </xf>
    <xf numFmtId="0" fontId="8" fillId="0" borderId="0" xfId="0" applyFont="1" applyAlignment="1">
      <alignment horizontal="left" vertical="center" wrapText="1"/>
    </xf>
    <xf numFmtId="0" fontId="0" fillId="0" borderId="0" xfId="0" applyAlignment="1">
      <alignment horizontal="left" vertical="center" wrapText="1"/>
    </xf>
    <xf numFmtId="0" fontId="115" fillId="0" borderId="27" xfId="0" applyFont="1" applyBorder="1" applyAlignment="1">
      <alignment horizontal="center"/>
    </xf>
    <xf numFmtId="0" fontId="115" fillId="0" borderId="29" xfId="0" applyFont="1" applyBorder="1" applyAlignment="1">
      <alignment horizontal="center"/>
    </xf>
    <xf numFmtId="0" fontId="0" fillId="0" borderId="48" xfId="0" applyBorder="1" applyAlignment="1">
      <alignment horizontal="center" vertical="center" textRotation="90"/>
    </xf>
    <xf numFmtId="0" fontId="0" fillId="0" borderId="12" xfId="0" applyBorder="1" applyAlignment="1">
      <alignment horizontal="center" vertical="center" textRotation="90"/>
    </xf>
    <xf numFmtId="0" fontId="0" fillId="0" borderId="13" xfId="0" applyBorder="1" applyAlignment="1">
      <alignment horizontal="center" vertical="center" textRotation="90"/>
    </xf>
    <xf numFmtId="0" fontId="30" fillId="62" borderId="0" xfId="0" applyFont="1" applyFill="1" applyAlignment="1">
      <alignment horizontal="center" vertical="center"/>
    </xf>
    <xf numFmtId="0" fontId="75" fillId="54" borderId="7" xfId="0" applyFont="1" applyFill="1" applyBorder="1" applyAlignment="1">
      <alignment horizontal="center" vertical="top"/>
    </xf>
    <xf numFmtId="0" fontId="75" fillId="54" borderId="0" xfId="0" applyFont="1" applyFill="1" applyAlignment="1">
      <alignment horizontal="center" vertical="top"/>
    </xf>
    <xf numFmtId="0" fontId="13" fillId="37" borderId="0" xfId="0" applyFont="1" applyFill="1" applyAlignment="1">
      <alignment horizontal="left" vertical="top"/>
    </xf>
    <xf numFmtId="0" fontId="30" fillId="62" borderId="183" xfId="0" applyFont="1" applyFill="1" applyBorder="1" applyAlignment="1">
      <alignment horizontal="center" vertical="center"/>
    </xf>
    <xf numFmtId="0" fontId="30" fillId="62" borderId="184" xfId="0" applyFont="1" applyFill="1" applyBorder="1" applyAlignment="1">
      <alignment horizontal="center" vertical="center"/>
    </xf>
    <xf numFmtId="0" fontId="30" fillId="62" borderId="185" xfId="0" applyFont="1" applyFill="1" applyBorder="1" applyAlignment="1">
      <alignment horizontal="center" vertical="center"/>
    </xf>
    <xf numFmtId="0" fontId="30" fillId="62" borderId="186" xfId="0" applyFont="1" applyFill="1" applyBorder="1" applyAlignment="1">
      <alignment horizontal="center" vertical="center"/>
    </xf>
    <xf numFmtId="0" fontId="30" fillId="62" borderId="187" xfId="0" applyFont="1" applyFill="1" applyBorder="1" applyAlignment="1">
      <alignment horizontal="center" vertical="center"/>
    </xf>
    <xf numFmtId="0" fontId="30" fillId="62" borderId="188" xfId="0" applyFont="1" applyFill="1" applyBorder="1" applyAlignment="1">
      <alignment horizontal="center" vertical="center" wrapText="1"/>
    </xf>
    <xf numFmtId="0" fontId="30" fillId="62" borderId="196" xfId="0" applyFont="1" applyFill="1" applyBorder="1" applyAlignment="1">
      <alignment horizontal="center" vertical="center" wrapText="1"/>
    </xf>
    <xf numFmtId="0" fontId="30" fillId="62" borderId="293" xfId="0" applyFont="1" applyFill="1" applyBorder="1" applyAlignment="1">
      <alignment horizontal="center" vertical="center"/>
    </xf>
    <xf numFmtId="0" fontId="154" fillId="0" borderId="0" xfId="0" applyFont="1" applyFill="1" applyBorder="1" applyAlignment="1"/>
    <xf numFmtId="9" fontId="154" fillId="0" borderId="0" xfId="0" applyNumberFormat="1" applyFont="1" applyFill="1" applyBorder="1" applyAlignment="1"/>
  </cellXfs>
  <cellStyles count="57">
    <cellStyle name="20% - Accent1" xfId="22" builtinId="30" customBuiltin="1"/>
    <cellStyle name="20% - Accent2" xfId="26" builtinId="34" customBuiltin="1"/>
    <cellStyle name="20% - Accent3" xfId="30" builtinId="38" customBuiltin="1"/>
    <cellStyle name="20% - Accent4" xfId="34" builtinId="42" customBuiltin="1"/>
    <cellStyle name="20% - Accent5" xfId="38" builtinId="46" customBuiltin="1"/>
    <cellStyle name="20% - Accent6" xfId="42" builtinId="50" customBuiltin="1"/>
    <cellStyle name="40% - Accent1" xfId="23" builtinId="31" customBuiltin="1"/>
    <cellStyle name="40% - Accent2" xfId="27" builtinId="35" customBuiltin="1"/>
    <cellStyle name="40% - Accent3" xfId="31" builtinId="39" customBuiltin="1"/>
    <cellStyle name="40% - Accent4" xfId="35" builtinId="43" customBuiltin="1"/>
    <cellStyle name="40% - Accent5" xfId="39" builtinId="47" customBuiltin="1"/>
    <cellStyle name="40% - Accent6" xfId="43" builtinId="51" customBuiltin="1"/>
    <cellStyle name="60% - Accent1" xfId="24" builtinId="32" customBuiltin="1"/>
    <cellStyle name="60% - Accent2" xfId="28" builtinId="36" customBuiltin="1"/>
    <cellStyle name="60% - Accent3" xfId="32" builtinId="40" customBuiltin="1"/>
    <cellStyle name="60% - Accent4" xfId="36" builtinId="44" customBuiltin="1"/>
    <cellStyle name="60% - Accent5" xfId="40" builtinId="48" customBuiltin="1"/>
    <cellStyle name="60% - Accent6" xfId="44" builtinId="52" customBuiltin="1"/>
    <cellStyle name="Accent1" xfId="21" builtinId="29" customBuiltin="1"/>
    <cellStyle name="Accent2" xfId="25" builtinId="33" customBuiltin="1"/>
    <cellStyle name="Accent3" xfId="29" builtinId="37" customBuiltin="1"/>
    <cellStyle name="Accent4" xfId="33" builtinId="41" customBuiltin="1"/>
    <cellStyle name="Accent5" xfId="37" builtinId="45" customBuiltin="1"/>
    <cellStyle name="Accent6" xfId="41" builtinId="49" customBuiltin="1"/>
    <cellStyle name="Bad" xfId="10" builtinId="27" customBuiltin="1"/>
    <cellStyle name="Calculation" xfId="14" builtinId="22" customBuiltin="1"/>
    <cellStyle name="Calculation 2" xfId="54" xr:uid="{94505C98-F2EA-D14F-850F-118DDE800092}"/>
    <cellStyle name="Check Cell" xfId="16" builtinId="23" customBuiltin="1"/>
    <cellStyle name="Comma" xfId="48" builtinId="3"/>
    <cellStyle name="Explanatory Text" xfId="19" builtinId="53" customBuiltin="1"/>
    <cellStyle name="Good" xfId="9" builtinId="26" customBuiltin="1"/>
    <cellStyle name="Heading 1" xfId="5" builtinId="16" customBuiltin="1"/>
    <cellStyle name="Heading 2" xfId="6" builtinId="17" customBuiltin="1"/>
    <cellStyle name="Heading 3" xfId="7" builtinId="18" customBuiltin="1"/>
    <cellStyle name="Heading 4" xfId="8" builtinId="19" customBuiltin="1"/>
    <cellStyle name="Hyperlink" xfId="52" builtinId="8"/>
    <cellStyle name="Hyperlink 2" xfId="49" xr:uid="{40A2C550-1A0F-44E8-B8B7-216F3C06D863}"/>
    <cellStyle name="Input" xfId="12" builtinId="20" customBuiltin="1"/>
    <cellStyle name="Input 2" xfId="55" xr:uid="{C2C1E691-5196-E347-BA8B-DE16B506F620}"/>
    <cellStyle name="Linked Cell" xfId="15" builtinId="24" customBuiltin="1"/>
    <cellStyle name="Neutral" xfId="11" builtinId="28" customBuiltin="1"/>
    <cellStyle name="Normal" xfId="0" builtinId="0"/>
    <cellStyle name="Normal 2" xfId="2" xr:uid="{00000000-0005-0000-0000-000027000000}"/>
    <cellStyle name="Normal 2 2" xfId="45" xr:uid="{00000000-0005-0000-0000-000028000000}"/>
    <cellStyle name="Normal 2 3" xfId="53" xr:uid="{4A5AC722-7858-4A69-961A-EC030656AFD3}"/>
    <cellStyle name="Normal 2 4" xfId="56" xr:uid="{CFBBF369-4B94-40D0-BFE2-622E71403576}"/>
    <cellStyle name="Normal 3" xfId="46" xr:uid="{00000000-0005-0000-0000-000029000000}"/>
    <cellStyle name="Normal 4" xfId="50" xr:uid="{0C5E9AFF-DE30-4F78-9729-CAF04B85F4E1}"/>
    <cellStyle name="Note" xfId="18" builtinId="10" customBuiltin="1"/>
    <cellStyle name="Output" xfId="13" builtinId="21" customBuiltin="1"/>
    <cellStyle name="Per cent" xfId="1" builtinId="5"/>
    <cellStyle name="Percent 2" xfId="3" xr:uid="{00000000-0005-0000-0000-00002D000000}"/>
    <cellStyle name="Percent 3" xfId="47" xr:uid="{00000000-0005-0000-0000-00002E000000}"/>
    <cellStyle name="Percent 4" xfId="51" xr:uid="{4EDB2F75-8F1D-4EE4-B952-8DD92C82BA9C}"/>
    <cellStyle name="Title" xfId="4" builtinId="15" customBuiltin="1"/>
    <cellStyle name="Total" xfId="20" builtinId="25" customBuiltin="1"/>
    <cellStyle name="Warning Text" xfId="17" builtinId="11" customBuiltin="1"/>
  </cellStyles>
  <dxfs count="11">
    <dxf>
      <font>
        <b/>
        <i val="0"/>
        <color rgb="FF0000CC"/>
      </font>
    </dxf>
    <dxf>
      <font>
        <color theme="0" tint="-0.34998626667073579"/>
      </font>
    </dxf>
    <dxf>
      <font>
        <b/>
        <i val="0"/>
        <color rgb="FF0000CC"/>
      </font>
    </dxf>
    <dxf>
      <font>
        <color theme="0" tint="-0.34998626667073579"/>
      </font>
    </dxf>
    <dxf>
      <font>
        <color rgb="FF009900"/>
      </font>
    </dxf>
    <dxf>
      <font>
        <color rgb="FFFF0000"/>
      </font>
    </dxf>
    <dxf>
      <font>
        <color rgb="FFFF0000"/>
      </font>
    </dxf>
    <dxf>
      <font>
        <condense val="0"/>
        <extend val="0"/>
        <color indexed="9"/>
      </font>
    </dxf>
    <dxf>
      <fill>
        <patternFill>
          <bgColor indexed="10"/>
        </patternFill>
      </fill>
    </dxf>
    <dxf>
      <fill>
        <patternFill>
          <bgColor indexed="13"/>
        </patternFill>
      </fill>
    </dxf>
    <dxf>
      <font>
        <condense val="0"/>
        <extend val="0"/>
        <color auto="1"/>
      </font>
      <fill>
        <patternFill>
          <bgColor indexed="11"/>
        </patternFill>
      </fill>
    </dxf>
  </dxfs>
  <tableStyles count="0" defaultTableStyle="TableStyleMedium2" defaultPivotStyle="PivotStyleLight16"/>
  <colors>
    <mruColors>
      <color rgb="FF000000"/>
      <color rgb="FF5FE5F3"/>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theme" Target="theme/theme1.xml"/><Relationship Id="rId58" Type="http://schemas.openxmlformats.org/officeDocument/2006/relationships/customXml" Target="../customXml/item1.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microsoft.com/office/2017/10/relationships/person" Target="persons/person.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calcChain" Target="calcChain.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externalLink" Target="externalLinks/externalLink2.xml"/><Relationship Id="rId60"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28.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Ex1.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Process  [Name]</a:t>
            </a:r>
            <a:r>
              <a:rPr lang="en-GB" baseline="0"/>
              <a:t> VA/NVA Analysis</a:t>
            </a:r>
            <a:endParaRPr lang="en-GB"/>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GB"/>
        </a:p>
      </c:txPr>
    </c:title>
    <c:autoTitleDeleted val="0"/>
    <c:plotArea>
      <c:layout/>
      <c:barChart>
        <c:barDir val="bar"/>
        <c:grouping val="stacked"/>
        <c:varyColors val="0"/>
        <c:ser>
          <c:idx val="0"/>
          <c:order val="0"/>
          <c:tx>
            <c:strRef>
              <c:f>'Waste Walkthrough'!$C$3</c:f>
              <c:strCache>
                <c:ptCount val="1"/>
                <c:pt idx="0">
                  <c:v>Customer Value Add</c:v>
                </c:pt>
              </c:strCache>
            </c:strRef>
          </c:tx>
          <c:spPr>
            <a:solidFill>
              <a:srgbClr val="92D050"/>
            </a:solidFill>
            <a:ln>
              <a:noFill/>
            </a:ln>
            <a:effectLst/>
          </c:spPr>
          <c:invertIfNegative val="0"/>
          <c:cat>
            <c:strRef>
              <c:f>'Waste Walkthrough'!$A$4:$A$13</c:f>
              <c:strCache>
                <c:ptCount val="10"/>
                <c:pt idx="0">
                  <c:v>Step 1</c:v>
                </c:pt>
                <c:pt idx="1">
                  <c:v>Step 2</c:v>
                </c:pt>
                <c:pt idx="2">
                  <c:v>Step 3</c:v>
                </c:pt>
                <c:pt idx="3">
                  <c:v>Step 4</c:v>
                </c:pt>
                <c:pt idx="4">
                  <c:v>Step 5</c:v>
                </c:pt>
                <c:pt idx="5">
                  <c:v>Step 6</c:v>
                </c:pt>
                <c:pt idx="6">
                  <c:v>Step 7</c:v>
                </c:pt>
                <c:pt idx="7">
                  <c:v>Step 8</c:v>
                </c:pt>
                <c:pt idx="8">
                  <c:v>Step 9</c:v>
                </c:pt>
                <c:pt idx="9">
                  <c:v>Step 10</c:v>
                </c:pt>
              </c:strCache>
            </c:strRef>
          </c:cat>
          <c:val>
            <c:numRef>
              <c:f>'Waste Walkthrough'!$C$4:$C$13</c:f>
              <c:numCache>
                <c:formatCode>General</c:formatCode>
                <c:ptCount val="10"/>
                <c:pt idx="0">
                  <c:v>0</c:v>
                </c:pt>
                <c:pt idx="1">
                  <c:v>5</c:v>
                </c:pt>
                <c:pt idx="2">
                  <c:v>0</c:v>
                </c:pt>
                <c:pt idx="3">
                  <c:v>0</c:v>
                </c:pt>
                <c:pt idx="4">
                  <c:v>1</c:v>
                </c:pt>
                <c:pt idx="5">
                  <c:v>0</c:v>
                </c:pt>
                <c:pt idx="6">
                  <c:v>0</c:v>
                </c:pt>
                <c:pt idx="7">
                  <c:v>0</c:v>
                </c:pt>
                <c:pt idx="8">
                  <c:v>2</c:v>
                </c:pt>
                <c:pt idx="9">
                  <c:v>1</c:v>
                </c:pt>
              </c:numCache>
            </c:numRef>
          </c:val>
          <c:extLst>
            <c:ext xmlns:c16="http://schemas.microsoft.com/office/drawing/2014/chart" uri="{C3380CC4-5D6E-409C-BE32-E72D297353CC}">
              <c16:uniqueId val="{00000000-8719-476E-BF1B-7562F192B62B}"/>
            </c:ext>
          </c:extLst>
        </c:ser>
        <c:ser>
          <c:idx val="1"/>
          <c:order val="1"/>
          <c:tx>
            <c:strRef>
              <c:f>'Waste Walkthrough'!$D$3</c:f>
              <c:strCache>
                <c:ptCount val="1"/>
                <c:pt idx="0">
                  <c:v>Essential Non-Value Add</c:v>
                </c:pt>
              </c:strCache>
            </c:strRef>
          </c:tx>
          <c:spPr>
            <a:solidFill>
              <a:srgbClr val="FFC000"/>
            </a:solidFill>
            <a:ln>
              <a:noFill/>
            </a:ln>
            <a:effectLst/>
          </c:spPr>
          <c:invertIfNegative val="0"/>
          <c:cat>
            <c:strRef>
              <c:f>'Waste Walkthrough'!$A$4:$A$13</c:f>
              <c:strCache>
                <c:ptCount val="10"/>
                <c:pt idx="0">
                  <c:v>Step 1</c:v>
                </c:pt>
                <c:pt idx="1">
                  <c:v>Step 2</c:v>
                </c:pt>
                <c:pt idx="2">
                  <c:v>Step 3</c:v>
                </c:pt>
                <c:pt idx="3">
                  <c:v>Step 4</c:v>
                </c:pt>
                <c:pt idx="4">
                  <c:v>Step 5</c:v>
                </c:pt>
                <c:pt idx="5">
                  <c:v>Step 6</c:v>
                </c:pt>
                <c:pt idx="6">
                  <c:v>Step 7</c:v>
                </c:pt>
                <c:pt idx="7">
                  <c:v>Step 8</c:v>
                </c:pt>
                <c:pt idx="8">
                  <c:v>Step 9</c:v>
                </c:pt>
                <c:pt idx="9">
                  <c:v>Step 10</c:v>
                </c:pt>
              </c:strCache>
            </c:strRef>
          </c:cat>
          <c:val>
            <c:numRef>
              <c:f>'Waste Walkthrough'!$D$4:$D$13</c:f>
              <c:numCache>
                <c:formatCode>General</c:formatCode>
                <c:ptCount val="10"/>
                <c:pt idx="0">
                  <c:v>3</c:v>
                </c:pt>
                <c:pt idx="1">
                  <c:v>1</c:v>
                </c:pt>
                <c:pt idx="2">
                  <c:v>1</c:v>
                </c:pt>
                <c:pt idx="3">
                  <c:v>1</c:v>
                </c:pt>
                <c:pt idx="4">
                  <c:v>1</c:v>
                </c:pt>
                <c:pt idx="5">
                  <c:v>1</c:v>
                </c:pt>
                <c:pt idx="6">
                  <c:v>1</c:v>
                </c:pt>
                <c:pt idx="7">
                  <c:v>1</c:v>
                </c:pt>
                <c:pt idx="8">
                  <c:v>3</c:v>
                </c:pt>
                <c:pt idx="9">
                  <c:v>1</c:v>
                </c:pt>
              </c:numCache>
            </c:numRef>
          </c:val>
          <c:extLst>
            <c:ext xmlns:c16="http://schemas.microsoft.com/office/drawing/2014/chart" uri="{C3380CC4-5D6E-409C-BE32-E72D297353CC}">
              <c16:uniqueId val="{00000001-8719-476E-BF1B-7562F192B62B}"/>
            </c:ext>
          </c:extLst>
        </c:ser>
        <c:ser>
          <c:idx val="2"/>
          <c:order val="2"/>
          <c:tx>
            <c:strRef>
              <c:f>'Waste Walkthrough'!$E$3</c:f>
              <c:strCache>
                <c:ptCount val="1"/>
                <c:pt idx="0">
                  <c:v>Non-Value Add</c:v>
                </c:pt>
              </c:strCache>
            </c:strRef>
          </c:tx>
          <c:spPr>
            <a:solidFill>
              <a:srgbClr val="FF0000"/>
            </a:solidFill>
            <a:ln>
              <a:noFill/>
            </a:ln>
            <a:effectLst/>
          </c:spPr>
          <c:invertIfNegative val="0"/>
          <c:cat>
            <c:strRef>
              <c:f>'Waste Walkthrough'!$A$4:$A$13</c:f>
              <c:strCache>
                <c:ptCount val="10"/>
                <c:pt idx="0">
                  <c:v>Step 1</c:v>
                </c:pt>
                <c:pt idx="1">
                  <c:v>Step 2</c:v>
                </c:pt>
                <c:pt idx="2">
                  <c:v>Step 3</c:v>
                </c:pt>
                <c:pt idx="3">
                  <c:v>Step 4</c:v>
                </c:pt>
                <c:pt idx="4">
                  <c:v>Step 5</c:v>
                </c:pt>
                <c:pt idx="5">
                  <c:v>Step 6</c:v>
                </c:pt>
                <c:pt idx="6">
                  <c:v>Step 7</c:v>
                </c:pt>
                <c:pt idx="7">
                  <c:v>Step 8</c:v>
                </c:pt>
                <c:pt idx="8">
                  <c:v>Step 9</c:v>
                </c:pt>
                <c:pt idx="9">
                  <c:v>Step 10</c:v>
                </c:pt>
              </c:strCache>
            </c:strRef>
          </c:cat>
          <c:val>
            <c:numRef>
              <c:f>'Waste Walkthrough'!$E$4:$E$13</c:f>
              <c:numCache>
                <c:formatCode>General</c:formatCode>
                <c:ptCount val="10"/>
                <c:pt idx="0">
                  <c:v>1</c:v>
                </c:pt>
                <c:pt idx="1">
                  <c:v>5</c:v>
                </c:pt>
                <c:pt idx="2">
                  <c:v>3</c:v>
                </c:pt>
                <c:pt idx="3">
                  <c:v>10</c:v>
                </c:pt>
                <c:pt idx="4">
                  <c:v>0</c:v>
                </c:pt>
                <c:pt idx="5">
                  <c:v>15</c:v>
                </c:pt>
                <c:pt idx="6">
                  <c:v>7</c:v>
                </c:pt>
                <c:pt idx="7">
                  <c:v>4</c:v>
                </c:pt>
                <c:pt idx="8">
                  <c:v>9</c:v>
                </c:pt>
                <c:pt idx="9">
                  <c:v>12</c:v>
                </c:pt>
              </c:numCache>
            </c:numRef>
          </c:val>
          <c:extLst>
            <c:ext xmlns:c16="http://schemas.microsoft.com/office/drawing/2014/chart" uri="{C3380CC4-5D6E-409C-BE32-E72D297353CC}">
              <c16:uniqueId val="{00000002-8719-476E-BF1B-7562F192B62B}"/>
            </c:ext>
          </c:extLst>
        </c:ser>
        <c:dLbls>
          <c:showLegendKey val="0"/>
          <c:showVal val="0"/>
          <c:showCatName val="0"/>
          <c:showSerName val="0"/>
          <c:showPercent val="0"/>
          <c:showBubbleSize val="0"/>
        </c:dLbls>
        <c:gapWidth val="150"/>
        <c:overlap val="100"/>
        <c:axId val="268368607"/>
        <c:axId val="268371935"/>
      </c:barChart>
      <c:catAx>
        <c:axId val="268368607"/>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68371935"/>
        <c:crosses val="autoZero"/>
        <c:auto val="1"/>
        <c:lblAlgn val="ctr"/>
        <c:lblOffset val="100"/>
        <c:noMultiLvlLbl val="0"/>
      </c:catAx>
      <c:valAx>
        <c:axId val="268371935"/>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Minutes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6836860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Process</a:t>
            </a:r>
            <a:r>
              <a:rPr lang="en-GB" baseline="0"/>
              <a:t> [Name] VA/VNA Analysis</a:t>
            </a:r>
            <a:endParaRPr lang="en-GB"/>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GB"/>
        </a:p>
      </c:txPr>
    </c:title>
    <c:autoTitleDeleted val="0"/>
    <c:plotArea>
      <c:layout/>
      <c:pieChart>
        <c:varyColors val="1"/>
        <c:ser>
          <c:idx val="0"/>
          <c:order val="0"/>
          <c:dPt>
            <c:idx val="0"/>
            <c:bubble3D val="0"/>
            <c:spPr>
              <a:solidFill>
                <a:srgbClr val="92D050"/>
              </a:solidFill>
              <a:ln w="19050">
                <a:solidFill>
                  <a:schemeClr val="lt1"/>
                </a:solidFill>
              </a:ln>
              <a:effectLst/>
            </c:spPr>
            <c:extLst>
              <c:ext xmlns:c16="http://schemas.microsoft.com/office/drawing/2014/chart" uri="{C3380CC4-5D6E-409C-BE32-E72D297353CC}">
                <c16:uniqueId val="{00000001-492E-4603-A70E-FAFF57CC5A34}"/>
              </c:ext>
            </c:extLst>
          </c:dPt>
          <c:dPt>
            <c:idx val="1"/>
            <c:bubble3D val="0"/>
            <c:spPr>
              <a:solidFill>
                <a:srgbClr val="FFC000"/>
              </a:solidFill>
              <a:ln w="19050">
                <a:solidFill>
                  <a:schemeClr val="lt1"/>
                </a:solidFill>
              </a:ln>
              <a:effectLst/>
            </c:spPr>
            <c:extLst>
              <c:ext xmlns:c16="http://schemas.microsoft.com/office/drawing/2014/chart" uri="{C3380CC4-5D6E-409C-BE32-E72D297353CC}">
                <c16:uniqueId val="{00000003-492E-4603-A70E-FAFF57CC5A34}"/>
              </c:ext>
            </c:extLst>
          </c:dPt>
          <c:dPt>
            <c:idx val="2"/>
            <c:bubble3D val="0"/>
            <c:spPr>
              <a:solidFill>
                <a:srgbClr val="FF0000"/>
              </a:solidFill>
              <a:ln w="19050">
                <a:solidFill>
                  <a:schemeClr val="lt1"/>
                </a:solidFill>
              </a:ln>
              <a:effectLst/>
            </c:spPr>
            <c:extLst>
              <c:ext xmlns:c16="http://schemas.microsoft.com/office/drawing/2014/chart" uri="{C3380CC4-5D6E-409C-BE32-E72D297353CC}">
                <c16:uniqueId val="{00000005-492E-4603-A70E-FAFF57CC5A34}"/>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'Waste Walkthrough'!$C$3:$E$3</c:f>
              <c:strCache>
                <c:ptCount val="3"/>
                <c:pt idx="0">
                  <c:v>Customer Value Add</c:v>
                </c:pt>
                <c:pt idx="1">
                  <c:v>Essential Non-Value Add</c:v>
                </c:pt>
                <c:pt idx="2">
                  <c:v>Non-Value Add</c:v>
                </c:pt>
              </c:strCache>
            </c:strRef>
          </c:cat>
          <c:val>
            <c:numRef>
              <c:f>'Waste Walkthrough'!$C$22:$E$22</c:f>
              <c:numCache>
                <c:formatCode>0%</c:formatCode>
                <c:ptCount val="3"/>
                <c:pt idx="0">
                  <c:v>0.10112359550561797</c:v>
                </c:pt>
                <c:pt idx="1">
                  <c:v>0.15730337078651685</c:v>
                </c:pt>
                <c:pt idx="2">
                  <c:v>0.7415730337078652</c:v>
                </c:pt>
              </c:numCache>
            </c:numRef>
          </c:val>
          <c:extLst>
            <c:ext xmlns:c16="http://schemas.microsoft.com/office/drawing/2014/chart" uri="{C3380CC4-5D6E-409C-BE32-E72D297353CC}">
              <c16:uniqueId val="{00000006-492E-4603-A70E-FAFF57CC5A34}"/>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b="1"/>
              <a:t>Component</a:t>
            </a:r>
            <a:r>
              <a:rPr lang="en-GB" b="1" baseline="0"/>
              <a:t> of Variation</a:t>
            </a:r>
            <a:endParaRPr lang="en-GB"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GB"/>
        </a:p>
      </c:txPr>
    </c:title>
    <c:autoTitleDeleted val="0"/>
    <c:plotArea>
      <c:layout/>
      <c:barChart>
        <c:barDir val="col"/>
        <c:grouping val="clustered"/>
        <c:varyColors val="0"/>
        <c:ser>
          <c:idx val="0"/>
          <c:order val="0"/>
          <c:tx>
            <c:strRef>
              <c:f>'Continuous GRR'!$Y$22</c:f>
              <c:strCache>
                <c:ptCount val="1"/>
                <c:pt idx="0">
                  <c:v>R&amp;R %Contribution</c:v>
                </c:pt>
              </c:strCache>
            </c:strRef>
          </c:tx>
          <c:spPr>
            <a:pattFill prst="wdDnDiag">
              <a:fgClr>
                <a:schemeClr val="tx2">
                  <a:lumMod val="60000"/>
                  <a:lumOff val="40000"/>
                </a:schemeClr>
              </a:fgClr>
              <a:bgClr>
                <a:schemeClr val="bg1"/>
              </a:bgClr>
            </a:pattFill>
            <a:ln>
              <a:solidFill>
                <a:srgbClr val="0070C0"/>
              </a:solidFill>
            </a:ln>
            <a:effectLst/>
          </c:spPr>
          <c:invertIfNegative val="0"/>
          <c:cat>
            <c:strRef>
              <c:f>'Continuous GRR'!$Z$21:$AC$21</c:f>
              <c:strCache>
                <c:ptCount val="4"/>
                <c:pt idx="0">
                  <c:v>TOTAL Gauge R&amp;R</c:v>
                </c:pt>
                <c:pt idx="1">
                  <c:v>Repeatability</c:v>
                </c:pt>
                <c:pt idx="2">
                  <c:v>Reproducibility</c:v>
                </c:pt>
                <c:pt idx="3">
                  <c:v>Part-to-part</c:v>
                </c:pt>
              </c:strCache>
            </c:strRef>
          </c:cat>
          <c:val>
            <c:numRef>
              <c:f>'Continuous GRR'!$Z$22:$AC$22</c:f>
              <c:numCache>
                <c:formatCode>0.00%</c:formatCode>
                <c:ptCount val="4"/>
                <c:pt idx="0">
                  <c:v>0</c:v>
                </c:pt>
                <c:pt idx="1">
                  <c:v>0</c:v>
                </c:pt>
                <c:pt idx="2">
                  <c:v>0</c:v>
                </c:pt>
                <c:pt idx="3">
                  <c:v>0</c:v>
                </c:pt>
              </c:numCache>
            </c:numRef>
          </c:val>
          <c:extLst>
            <c:ext xmlns:c16="http://schemas.microsoft.com/office/drawing/2014/chart" uri="{C3380CC4-5D6E-409C-BE32-E72D297353CC}">
              <c16:uniqueId val="{00000000-0C49-F446-80A1-25DD21DA99BE}"/>
            </c:ext>
          </c:extLst>
        </c:ser>
        <c:ser>
          <c:idx val="1"/>
          <c:order val="1"/>
          <c:tx>
            <c:strRef>
              <c:f>'Continuous GRR'!$Y$23</c:f>
              <c:strCache>
                <c:ptCount val="1"/>
                <c:pt idx="0">
                  <c:v>R&amp;R %Study Variation</c:v>
                </c:pt>
              </c:strCache>
            </c:strRef>
          </c:tx>
          <c:spPr>
            <a:pattFill prst="wdUpDiag">
              <a:fgClr>
                <a:schemeClr val="bg1">
                  <a:lumMod val="65000"/>
                </a:schemeClr>
              </a:fgClr>
              <a:bgClr>
                <a:schemeClr val="bg1"/>
              </a:bgClr>
            </a:pattFill>
            <a:ln>
              <a:solidFill>
                <a:schemeClr val="bg1">
                  <a:lumMod val="65000"/>
                </a:schemeClr>
              </a:solidFill>
            </a:ln>
            <a:effectLst/>
          </c:spPr>
          <c:invertIfNegative val="0"/>
          <c:cat>
            <c:strRef>
              <c:f>'Continuous GRR'!$Z$21:$AC$21</c:f>
              <c:strCache>
                <c:ptCount val="4"/>
                <c:pt idx="0">
                  <c:v>TOTAL Gauge R&amp;R</c:v>
                </c:pt>
                <c:pt idx="1">
                  <c:v>Repeatability</c:v>
                </c:pt>
                <c:pt idx="2">
                  <c:v>Reproducibility</c:v>
                </c:pt>
                <c:pt idx="3">
                  <c:v>Part-to-part</c:v>
                </c:pt>
              </c:strCache>
            </c:strRef>
          </c:cat>
          <c:val>
            <c:numRef>
              <c:f>'Continuous GRR'!$Z$23:$AC$23</c:f>
              <c:numCache>
                <c:formatCode>0.00%</c:formatCode>
                <c:ptCount val="4"/>
                <c:pt idx="0">
                  <c:v>0</c:v>
                </c:pt>
                <c:pt idx="1">
                  <c:v>0</c:v>
                </c:pt>
                <c:pt idx="2">
                  <c:v>0</c:v>
                </c:pt>
                <c:pt idx="3">
                  <c:v>0</c:v>
                </c:pt>
              </c:numCache>
            </c:numRef>
          </c:val>
          <c:extLst>
            <c:ext xmlns:c16="http://schemas.microsoft.com/office/drawing/2014/chart" uri="{C3380CC4-5D6E-409C-BE32-E72D297353CC}">
              <c16:uniqueId val="{00000001-0C49-F446-80A1-25DD21DA99BE}"/>
            </c:ext>
          </c:extLst>
        </c:ser>
        <c:dLbls>
          <c:showLegendKey val="0"/>
          <c:showVal val="0"/>
          <c:showCatName val="0"/>
          <c:showSerName val="0"/>
          <c:showPercent val="0"/>
          <c:showBubbleSize val="0"/>
        </c:dLbls>
        <c:gapWidth val="219"/>
        <c:overlap val="-27"/>
        <c:axId val="2079260208"/>
        <c:axId val="2079261456"/>
      </c:barChart>
      <c:catAx>
        <c:axId val="2079260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79261456"/>
        <c:crosses val="autoZero"/>
        <c:auto val="1"/>
        <c:lblAlgn val="ctr"/>
        <c:lblOffset val="100"/>
        <c:noMultiLvlLbl val="0"/>
      </c:catAx>
      <c:valAx>
        <c:axId val="207926145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792602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b="1"/>
              <a:t>Parts * Operators Interaction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1"/>
          <c:order val="0"/>
          <c:tx>
            <c:strRef>
              <c:f>'Continuous GRR'!$Z$29</c:f>
              <c:strCache>
                <c:ptCount val="1"/>
                <c:pt idx="0">
                  <c:v>Operator 1</c:v>
                </c:pt>
              </c:strCache>
            </c:strRef>
          </c:tx>
          <c:spPr>
            <a:ln w="28575" cap="rnd">
              <a:solidFill>
                <a:srgbClr val="0070C0"/>
              </a:solidFill>
              <a:round/>
            </a:ln>
            <a:effectLst/>
          </c:spPr>
          <c:marker>
            <c:symbol val="circle"/>
            <c:size val="5"/>
            <c:spPr>
              <a:solidFill>
                <a:schemeClr val="bg1"/>
              </a:solidFill>
              <a:ln w="9525">
                <a:solidFill>
                  <a:srgbClr val="0070C0"/>
                </a:solidFill>
              </a:ln>
              <a:effectLst/>
            </c:spPr>
          </c:marker>
          <c:val>
            <c:numRef>
              <c:f>'Continuous GRR'!$Z$30:$Z$39</c:f>
              <c:numCache>
                <c:formatCode>_-* #,##0.000_-;\-* #,##0.000_-;_-* "-"??_-;_-@_-</c:formatCode>
                <c:ptCount val="10"/>
                <c:pt idx="0">
                  <c:v>0</c:v>
                </c:pt>
                <c:pt idx="1">
                  <c:v>0</c:v>
                </c:pt>
                <c:pt idx="2">
                  <c:v>0</c:v>
                </c:pt>
                <c:pt idx="3">
                  <c:v>0</c:v>
                </c:pt>
                <c:pt idx="4">
                  <c:v>0</c:v>
                </c:pt>
                <c:pt idx="5">
                  <c:v>0</c:v>
                </c:pt>
                <c:pt idx="6">
                  <c:v>0</c:v>
                </c:pt>
                <c:pt idx="7">
                  <c:v>0</c:v>
                </c:pt>
                <c:pt idx="8">
                  <c:v>0</c:v>
                </c:pt>
                <c:pt idx="9">
                  <c:v>0</c:v>
                </c:pt>
              </c:numCache>
            </c:numRef>
          </c:val>
          <c:smooth val="0"/>
          <c:extLst>
            <c:ext xmlns:c16="http://schemas.microsoft.com/office/drawing/2014/chart" uri="{C3380CC4-5D6E-409C-BE32-E72D297353CC}">
              <c16:uniqueId val="{00000000-CAA0-7548-99F8-E8EA94004324}"/>
            </c:ext>
          </c:extLst>
        </c:ser>
        <c:ser>
          <c:idx val="2"/>
          <c:order val="1"/>
          <c:tx>
            <c:strRef>
              <c:f>'Continuous GRR'!$AA$29</c:f>
              <c:strCache>
                <c:ptCount val="1"/>
                <c:pt idx="0">
                  <c:v>Operator 2</c:v>
                </c:pt>
              </c:strCache>
            </c:strRef>
          </c:tx>
          <c:spPr>
            <a:ln w="28575" cap="rnd">
              <a:solidFill>
                <a:schemeClr val="bg1">
                  <a:lumMod val="65000"/>
                </a:schemeClr>
              </a:solidFill>
              <a:round/>
            </a:ln>
            <a:effectLst/>
          </c:spPr>
          <c:marker>
            <c:symbol val="circle"/>
            <c:size val="5"/>
            <c:spPr>
              <a:solidFill>
                <a:schemeClr val="tx1"/>
              </a:solidFill>
              <a:ln w="9525">
                <a:solidFill>
                  <a:schemeClr val="accent3"/>
                </a:solidFill>
              </a:ln>
              <a:effectLst/>
            </c:spPr>
          </c:marker>
          <c:val>
            <c:numRef>
              <c:f>'Continuous GRR'!$AA$30:$AA$39</c:f>
              <c:numCache>
                <c:formatCode>_-* #,##0.000_-;\-* #,##0.000_-;_-* "-"??_-;_-@_-</c:formatCode>
                <c:ptCount val="10"/>
                <c:pt idx="0">
                  <c:v>0</c:v>
                </c:pt>
                <c:pt idx="1">
                  <c:v>0</c:v>
                </c:pt>
                <c:pt idx="2">
                  <c:v>0</c:v>
                </c:pt>
                <c:pt idx="3">
                  <c:v>0</c:v>
                </c:pt>
                <c:pt idx="4">
                  <c:v>0</c:v>
                </c:pt>
                <c:pt idx="5">
                  <c:v>0</c:v>
                </c:pt>
                <c:pt idx="6">
                  <c:v>0</c:v>
                </c:pt>
                <c:pt idx="7">
                  <c:v>0</c:v>
                </c:pt>
                <c:pt idx="8">
                  <c:v>0</c:v>
                </c:pt>
                <c:pt idx="9">
                  <c:v>0</c:v>
                </c:pt>
              </c:numCache>
            </c:numRef>
          </c:val>
          <c:smooth val="0"/>
          <c:extLst>
            <c:ext xmlns:c16="http://schemas.microsoft.com/office/drawing/2014/chart" uri="{C3380CC4-5D6E-409C-BE32-E72D297353CC}">
              <c16:uniqueId val="{00000001-CAA0-7548-99F8-E8EA94004324}"/>
            </c:ext>
          </c:extLst>
        </c:ser>
        <c:dLbls>
          <c:showLegendKey val="0"/>
          <c:showVal val="0"/>
          <c:showCatName val="0"/>
          <c:showSerName val="0"/>
          <c:showPercent val="0"/>
          <c:showBubbleSize val="0"/>
        </c:dLbls>
        <c:marker val="1"/>
        <c:smooth val="0"/>
        <c:axId val="1753227984"/>
        <c:axId val="1753228400"/>
      </c:lineChart>
      <c:catAx>
        <c:axId val="175322798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Parts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53228400"/>
        <c:crosses val="autoZero"/>
        <c:auto val="1"/>
        <c:lblAlgn val="ctr"/>
        <c:lblOffset val="100"/>
        <c:noMultiLvlLbl val="0"/>
      </c:catAx>
      <c:valAx>
        <c:axId val="17532284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Measurement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532279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'Graphical Summary'!$G$1</c:f>
          <c:strCache>
            <c:ptCount val="1"/>
            <c:pt idx="0">
              <c:v>CTQ  Y1 (baseline)</c:v>
            </c:pt>
          </c:strCache>
        </c:strRef>
      </c:tx>
      <c:layout>
        <c:manualLayout>
          <c:xMode val="edge"/>
          <c:yMode val="edge"/>
          <c:x val="0.41178941856965184"/>
          <c:y val="3.5460992907801431E-3"/>
        </c:manualLayout>
      </c:layout>
      <c:overlay val="0"/>
    </c:title>
    <c:autoTitleDeleted val="0"/>
    <c:plotArea>
      <c:layout/>
      <c:barChart>
        <c:barDir val="col"/>
        <c:grouping val="clustered"/>
        <c:varyColors val="0"/>
        <c:ser>
          <c:idx val="0"/>
          <c:order val="0"/>
          <c:spPr>
            <a:solidFill>
              <a:schemeClr val="accent3"/>
            </a:solidFill>
          </c:spPr>
          <c:invertIfNegative val="0"/>
          <c:cat>
            <c:numRef>
              <c:f>'Graphical Summary'!$B$2:$B$14</c:f>
              <c:numCache>
                <c:formatCode>0.0</c:formatCode>
                <c:ptCount val="13"/>
                <c:pt idx="0" formatCode="General">
                  <c:v>145.12</c:v>
                </c:pt>
                <c:pt idx="1">
                  <c:v>146.14846153846153</c:v>
                </c:pt>
                <c:pt idx="2">
                  <c:v>147.17692307692306</c:v>
                </c:pt>
                <c:pt idx="3">
                  <c:v>148.20538461538459</c:v>
                </c:pt>
                <c:pt idx="4">
                  <c:v>149.23384615384612</c:v>
                </c:pt>
                <c:pt idx="5">
                  <c:v>150.26230769230764</c:v>
                </c:pt>
                <c:pt idx="6">
                  <c:v>151.29076923076917</c:v>
                </c:pt>
                <c:pt idx="7">
                  <c:v>152.3192307692307</c:v>
                </c:pt>
                <c:pt idx="8">
                  <c:v>153.34769230769223</c:v>
                </c:pt>
                <c:pt idx="9">
                  <c:v>154.37615384615376</c:v>
                </c:pt>
                <c:pt idx="10">
                  <c:v>155.40461538461528</c:v>
                </c:pt>
                <c:pt idx="11">
                  <c:v>156.43307692307681</c:v>
                </c:pt>
                <c:pt idx="12" formatCode="General">
                  <c:v>157.49</c:v>
                </c:pt>
              </c:numCache>
            </c:numRef>
          </c:cat>
          <c:val>
            <c:numRef>
              <c:f>'Graphical Summary'!$C$2:$C$14</c:f>
              <c:numCache>
                <c:formatCode>General</c:formatCode>
                <c:ptCount val="13"/>
                <c:pt idx="0">
                  <c:v>1</c:v>
                </c:pt>
                <c:pt idx="1">
                  <c:v>2</c:v>
                </c:pt>
                <c:pt idx="2">
                  <c:v>8</c:v>
                </c:pt>
                <c:pt idx="3">
                  <c:v>8</c:v>
                </c:pt>
                <c:pt idx="4">
                  <c:v>6</c:v>
                </c:pt>
                <c:pt idx="5">
                  <c:v>6</c:v>
                </c:pt>
                <c:pt idx="6">
                  <c:v>8</c:v>
                </c:pt>
                <c:pt idx="7">
                  <c:v>3</c:v>
                </c:pt>
                <c:pt idx="8">
                  <c:v>1</c:v>
                </c:pt>
                <c:pt idx="9">
                  <c:v>3</c:v>
                </c:pt>
                <c:pt idx="10">
                  <c:v>1</c:v>
                </c:pt>
                <c:pt idx="11">
                  <c:v>1</c:v>
                </c:pt>
                <c:pt idx="12">
                  <c:v>2</c:v>
                </c:pt>
              </c:numCache>
            </c:numRef>
          </c:val>
          <c:extLst>
            <c:ext xmlns:c16="http://schemas.microsoft.com/office/drawing/2014/chart" uri="{C3380CC4-5D6E-409C-BE32-E72D297353CC}">
              <c16:uniqueId val="{00000000-81CB-4075-8EF4-86D18AC85865}"/>
            </c:ext>
          </c:extLst>
        </c:ser>
        <c:dLbls>
          <c:showLegendKey val="0"/>
          <c:showVal val="0"/>
          <c:showCatName val="0"/>
          <c:showSerName val="0"/>
          <c:showPercent val="0"/>
          <c:showBubbleSize val="0"/>
        </c:dLbls>
        <c:gapWidth val="12"/>
        <c:axId val="780688168"/>
        <c:axId val="780684248"/>
      </c:barChart>
      <c:lineChart>
        <c:grouping val="standard"/>
        <c:varyColors val="0"/>
        <c:ser>
          <c:idx val="1"/>
          <c:order val="1"/>
          <c:spPr>
            <a:ln w="15875">
              <a:solidFill>
                <a:srgbClr val="FF0000"/>
              </a:solidFill>
            </a:ln>
          </c:spPr>
          <c:marker>
            <c:symbol val="none"/>
          </c:marker>
          <c:cat>
            <c:numRef>
              <c:f>'Graphical Summary'!$B$2:$B$14</c:f>
              <c:numCache>
                <c:formatCode>0.0</c:formatCode>
                <c:ptCount val="13"/>
                <c:pt idx="0" formatCode="General">
                  <c:v>145.12</c:v>
                </c:pt>
                <c:pt idx="1">
                  <c:v>146.14846153846153</c:v>
                </c:pt>
                <c:pt idx="2">
                  <c:v>147.17692307692306</c:v>
                </c:pt>
                <c:pt idx="3">
                  <c:v>148.20538461538459</c:v>
                </c:pt>
                <c:pt idx="4">
                  <c:v>149.23384615384612</c:v>
                </c:pt>
                <c:pt idx="5">
                  <c:v>150.26230769230764</c:v>
                </c:pt>
                <c:pt idx="6">
                  <c:v>151.29076923076917</c:v>
                </c:pt>
                <c:pt idx="7">
                  <c:v>152.3192307692307</c:v>
                </c:pt>
                <c:pt idx="8">
                  <c:v>153.34769230769223</c:v>
                </c:pt>
                <c:pt idx="9">
                  <c:v>154.37615384615376</c:v>
                </c:pt>
                <c:pt idx="10">
                  <c:v>155.40461538461528</c:v>
                </c:pt>
                <c:pt idx="11">
                  <c:v>156.43307692307681</c:v>
                </c:pt>
                <c:pt idx="12" formatCode="General">
                  <c:v>157.49</c:v>
                </c:pt>
              </c:numCache>
            </c:numRef>
          </c:cat>
          <c:val>
            <c:numRef>
              <c:f>'Graphical Summary'!$E$2:$E$14</c:f>
              <c:numCache>
                <c:formatCode>0.00</c:formatCode>
                <c:ptCount val="13"/>
                <c:pt idx="0">
                  <c:v>1.9527510123943894</c:v>
                </c:pt>
                <c:pt idx="1">
                  <c:v>3.2317118106715093</c:v>
                </c:pt>
                <c:pt idx="2">
                  <c:v>4.7092744710587979</c:v>
                </c:pt>
                <c:pt idx="3">
                  <c:v>6.0424213327414495</c:v>
                </c:pt>
                <c:pt idx="4">
                  <c:v>6.826587021109189</c:v>
                </c:pt>
                <c:pt idx="5">
                  <c:v>6.7909710715975038</c:v>
                </c:pt>
                <c:pt idx="6">
                  <c:v>5.948339587127629</c:v>
                </c:pt>
                <c:pt idx="7">
                  <c:v>4.5877025480047653</c:v>
                </c:pt>
                <c:pt idx="8">
                  <c:v>3.115518780624154</c:v>
                </c:pt>
                <c:pt idx="9">
                  <c:v>1.8629496580515543</c:v>
                </c:pt>
                <c:pt idx="10">
                  <c:v>0.98086104969285792</c:v>
                </c:pt>
                <c:pt idx="11">
                  <c:v>0.45472568154625076</c:v>
                </c:pt>
                <c:pt idx="12">
                  <c:v>0.18074767320567381</c:v>
                </c:pt>
              </c:numCache>
            </c:numRef>
          </c:val>
          <c:smooth val="1"/>
          <c:extLst>
            <c:ext xmlns:c16="http://schemas.microsoft.com/office/drawing/2014/chart" uri="{C3380CC4-5D6E-409C-BE32-E72D297353CC}">
              <c16:uniqueId val="{00000001-81CB-4075-8EF4-86D18AC85865}"/>
            </c:ext>
          </c:extLst>
        </c:ser>
        <c:dLbls>
          <c:showLegendKey val="0"/>
          <c:showVal val="0"/>
          <c:showCatName val="0"/>
          <c:showSerName val="0"/>
          <c:showPercent val="0"/>
          <c:showBubbleSize val="0"/>
        </c:dLbls>
        <c:marker val="1"/>
        <c:smooth val="0"/>
        <c:axId val="780688168"/>
        <c:axId val="780684248"/>
      </c:lineChart>
      <c:catAx>
        <c:axId val="780688168"/>
        <c:scaling>
          <c:orientation val="minMax"/>
        </c:scaling>
        <c:delete val="0"/>
        <c:axPos val="b"/>
        <c:title>
          <c:tx>
            <c:rich>
              <a:bodyPr/>
              <a:lstStyle/>
              <a:p>
                <a:pPr>
                  <a:defRPr/>
                </a:pPr>
                <a:r>
                  <a:rPr lang="en-GB"/>
                  <a:t>Bin</a:t>
                </a:r>
              </a:p>
            </c:rich>
          </c:tx>
          <c:overlay val="0"/>
        </c:title>
        <c:numFmt formatCode="#,##0" sourceLinked="0"/>
        <c:majorTickMark val="out"/>
        <c:minorTickMark val="none"/>
        <c:tickLblPos val="nextTo"/>
        <c:crossAx val="780684248"/>
        <c:crosses val="autoZero"/>
        <c:auto val="1"/>
        <c:lblAlgn val="ctr"/>
        <c:lblOffset val="100"/>
        <c:noMultiLvlLbl val="0"/>
      </c:catAx>
      <c:valAx>
        <c:axId val="780684248"/>
        <c:scaling>
          <c:orientation val="minMax"/>
        </c:scaling>
        <c:delete val="0"/>
        <c:axPos val="l"/>
        <c:title>
          <c:tx>
            <c:rich>
              <a:bodyPr/>
              <a:lstStyle/>
              <a:p>
                <a:pPr>
                  <a:defRPr/>
                </a:pPr>
                <a:r>
                  <a:rPr lang="en-GB"/>
                  <a:t>Frequency</a:t>
                </a:r>
              </a:p>
            </c:rich>
          </c:tx>
          <c:overlay val="0"/>
        </c:title>
        <c:numFmt formatCode="General" sourceLinked="1"/>
        <c:majorTickMark val="out"/>
        <c:minorTickMark val="none"/>
        <c:tickLblPos val="nextTo"/>
        <c:crossAx val="780688168"/>
        <c:crosses val="autoZero"/>
        <c:crossBetween val="between"/>
      </c:valAx>
    </c:plotArea>
    <c:plotVisOnly val="1"/>
    <c:dispBlanksAs val="gap"/>
    <c:showDLblsOverMax val="0"/>
  </c:chart>
  <c:spPr>
    <a:ln>
      <a:noFill/>
    </a:ln>
  </c:spPr>
  <c:txPr>
    <a:bodyPr/>
    <a:lstStyle/>
    <a:p>
      <a:pPr>
        <a:defRPr>
          <a:latin typeface="+mj-lt"/>
        </a:defRPr>
      </a:pPr>
      <a:endParaRPr lang="en-US"/>
    </a:p>
  </c:txPr>
  <c:printSettings>
    <c:headerFooter/>
    <c:pageMargins b="0.75000000000000033" l="0.70000000000000029" r="0.70000000000000029" t="0.75000000000000033" header="0.30000000000000016" footer="0.30000000000000016"/>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1988407699037624E-2"/>
          <c:y val="6.5289442986293383E-2"/>
          <c:w val="0.76074803901875065"/>
          <c:h val="0.8326195683872849"/>
        </c:manualLayout>
      </c:layout>
      <c:lineChart>
        <c:grouping val="standard"/>
        <c:varyColors val="0"/>
        <c:ser>
          <c:idx val="0"/>
          <c:order val="0"/>
          <c:tx>
            <c:strRef>
              <c:f>'Graphical Summary'!$F$21</c:f>
              <c:strCache>
                <c:ptCount val="1"/>
                <c:pt idx="0">
                  <c:v>Lower Quartile (Q1 - 25th%ile)</c:v>
                </c:pt>
              </c:strCache>
            </c:strRef>
          </c:tx>
          <c:marker>
            <c:symbol val="none"/>
          </c:marker>
          <c:cat>
            <c:strRef>
              <c:f>'Graphical Summary'!$G$18</c:f>
              <c:strCache>
                <c:ptCount val="1"/>
                <c:pt idx="0">
                  <c:v>CTQ  Y1 (baseline)</c:v>
                </c:pt>
              </c:strCache>
            </c:strRef>
          </c:cat>
          <c:val>
            <c:numRef>
              <c:f>'Graphical Summary'!$G$21</c:f>
              <c:numCache>
                <c:formatCode>_-* #,##0.00_-;\-* #,##0.00_-;_-* "-"??_-;_-@_-</c:formatCode>
                <c:ptCount val="1"/>
                <c:pt idx="0">
                  <c:v>147.58750000000001</c:v>
                </c:pt>
              </c:numCache>
            </c:numRef>
          </c:val>
          <c:smooth val="0"/>
          <c:extLst>
            <c:ext xmlns:c16="http://schemas.microsoft.com/office/drawing/2014/chart" uri="{C3380CC4-5D6E-409C-BE32-E72D297353CC}">
              <c16:uniqueId val="{00000000-5934-4723-899E-90407052EFED}"/>
            </c:ext>
          </c:extLst>
        </c:ser>
        <c:ser>
          <c:idx val="1"/>
          <c:order val="1"/>
          <c:tx>
            <c:strRef>
              <c:f>'Graphical Summary'!$F$19</c:f>
              <c:strCache>
                <c:ptCount val="1"/>
                <c:pt idx="0">
                  <c:v>Minimum</c:v>
                </c:pt>
              </c:strCache>
            </c:strRef>
          </c:tx>
          <c:marker>
            <c:symbol val="dash"/>
            <c:size val="11"/>
            <c:spPr>
              <a:ln>
                <a:solidFill>
                  <a:schemeClr val="tx1"/>
                </a:solidFill>
              </a:ln>
            </c:spPr>
          </c:marker>
          <c:cat>
            <c:strRef>
              <c:f>'Graphical Summary'!$G$18</c:f>
              <c:strCache>
                <c:ptCount val="1"/>
                <c:pt idx="0">
                  <c:v>CTQ  Y1 (baseline)</c:v>
                </c:pt>
              </c:strCache>
            </c:strRef>
          </c:cat>
          <c:val>
            <c:numRef>
              <c:f>'Graphical Summary'!$G$19</c:f>
              <c:numCache>
                <c:formatCode>_-* #,##0.00_-;\-* #,##0.00_-;_-* "-"??_-;_-@_-</c:formatCode>
                <c:ptCount val="1"/>
                <c:pt idx="0">
                  <c:v>145.12</c:v>
                </c:pt>
              </c:numCache>
            </c:numRef>
          </c:val>
          <c:smooth val="0"/>
          <c:extLst>
            <c:ext xmlns:c16="http://schemas.microsoft.com/office/drawing/2014/chart" uri="{C3380CC4-5D6E-409C-BE32-E72D297353CC}">
              <c16:uniqueId val="{00000001-5934-4723-899E-90407052EFED}"/>
            </c:ext>
          </c:extLst>
        </c:ser>
        <c:ser>
          <c:idx val="2"/>
          <c:order val="2"/>
          <c:tx>
            <c:strRef>
              <c:f>'Graphical Summary'!$F$22</c:f>
              <c:strCache>
                <c:ptCount val="1"/>
                <c:pt idx="0">
                  <c:v>Median</c:v>
                </c:pt>
              </c:strCache>
            </c:strRef>
          </c:tx>
          <c:spPr>
            <a:ln>
              <a:noFill/>
            </a:ln>
          </c:spPr>
          <c:marker>
            <c:symbol val="circle"/>
            <c:size val="7"/>
            <c:spPr>
              <a:solidFill>
                <a:srgbClr val="FF0000"/>
              </a:solidFill>
              <a:ln>
                <a:solidFill>
                  <a:srgbClr val="FF0000"/>
                </a:solidFill>
              </a:ln>
            </c:spPr>
          </c:marker>
          <c:cat>
            <c:strRef>
              <c:f>'Graphical Summary'!$G$18</c:f>
              <c:strCache>
                <c:ptCount val="1"/>
                <c:pt idx="0">
                  <c:v>CTQ  Y1 (baseline)</c:v>
                </c:pt>
              </c:strCache>
            </c:strRef>
          </c:cat>
          <c:val>
            <c:numRef>
              <c:f>'Graphical Summary'!$G$22</c:f>
              <c:numCache>
                <c:formatCode>_-* #,##0.00_-;\-* #,##0.00_-;_-* "-"??_-;_-@_-</c:formatCode>
                <c:ptCount val="1"/>
                <c:pt idx="0">
                  <c:v>149.19999999999999</c:v>
                </c:pt>
              </c:numCache>
            </c:numRef>
          </c:val>
          <c:smooth val="0"/>
          <c:extLst>
            <c:ext xmlns:c16="http://schemas.microsoft.com/office/drawing/2014/chart" uri="{C3380CC4-5D6E-409C-BE32-E72D297353CC}">
              <c16:uniqueId val="{00000002-5934-4723-899E-90407052EFED}"/>
            </c:ext>
          </c:extLst>
        </c:ser>
        <c:ser>
          <c:idx val="3"/>
          <c:order val="3"/>
          <c:tx>
            <c:strRef>
              <c:f>'Graphical Summary'!$F$25</c:f>
              <c:strCache>
                <c:ptCount val="1"/>
                <c:pt idx="0">
                  <c:v>Maximum</c:v>
                </c:pt>
              </c:strCache>
            </c:strRef>
          </c:tx>
          <c:marker>
            <c:symbol val="dash"/>
            <c:size val="11"/>
            <c:spPr>
              <a:ln w="3175">
                <a:solidFill>
                  <a:schemeClr val="tx1"/>
                </a:solidFill>
              </a:ln>
            </c:spPr>
          </c:marker>
          <c:cat>
            <c:strRef>
              <c:f>'Graphical Summary'!$G$18</c:f>
              <c:strCache>
                <c:ptCount val="1"/>
                <c:pt idx="0">
                  <c:v>CTQ  Y1 (baseline)</c:v>
                </c:pt>
              </c:strCache>
            </c:strRef>
          </c:cat>
          <c:val>
            <c:numRef>
              <c:f>'Graphical Summary'!$G$25</c:f>
              <c:numCache>
                <c:formatCode>_-* #,##0.00_-;\-* #,##0.00_-;_-* "-"??_-;_-@_-</c:formatCode>
                <c:ptCount val="1"/>
                <c:pt idx="0">
                  <c:v>157.49</c:v>
                </c:pt>
              </c:numCache>
            </c:numRef>
          </c:val>
          <c:smooth val="0"/>
          <c:extLst>
            <c:ext xmlns:c16="http://schemas.microsoft.com/office/drawing/2014/chart" uri="{C3380CC4-5D6E-409C-BE32-E72D297353CC}">
              <c16:uniqueId val="{00000003-5934-4723-899E-90407052EFED}"/>
            </c:ext>
          </c:extLst>
        </c:ser>
        <c:ser>
          <c:idx val="4"/>
          <c:order val="4"/>
          <c:tx>
            <c:strRef>
              <c:f>'Graphical Summary'!$F$23</c:f>
              <c:strCache>
                <c:ptCount val="1"/>
                <c:pt idx="0">
                  <c:v>Upper Quartile  (Q3 - 75th%ile)</c:v>
                </c:pt>
              </c:strCache>
            </c:strRef>
          </c:tx>
          <c:marker>
            <c:symbol val="none"/>
          </c:marker>
          <c:cat>
            <c:strRef>
              <c:f>'Graphical Summary'!$G$18</c:f>
              <c:strCache>
                <c:ptCount val="1"/>
                <c:pt idx="0">
                  <c:v>CTQ  Y1 (baseline)</c:v>
                </c:pt>
              </c:strCache>
            </c:strRef>
          </c:cat>
          <c:val>
            <c:numRef>
              <c:f>'Graphical Summary'!$G$23</c:f>
              <c:numCache>
                <c:formatCode>_-* #,##0.00_-;\-* #,##0.00_-;_-* "-"??_-;_-@_-</c:formatCode>
                <c:ptCount val="1"/>
                <c:pt idx="0">
                  <c:v>151.0675</c:v>
                </c:pt>
              </c:numCache>
            </c:numRef>
          </c:val>
          <c:smooth val="0"/>
          <c:extLst>
            <c:ext xmlns:c16="http://schemas.microsoft.com/office/drawing/2014/chart" uri="{C3380CC4-5D6E-409C-BE32-E72D297353CC}">
              <c16:uniqueId val="{00000004-5934-4723-899E-90407052EFED}"/>
            </c:ext>
          </c:extLst>
        </c:ser>
        <c:dLbls>
          <c:showLegendKey val="0"/>
          <c:showVal val="0"/>
          <c:showCatName val="0"/>
          <c:showSerName val="0"/>
          <c:showPercent val="0"/>
          <c:showBubbleSize val="0"/>
        </c:dLbls>
        <c:hiLowLines/>
        <c:upDownBars>
          <c:gapWidth val="150"/>
          <c:upBars/>
          <c:downBars/>
        </c:upDownBars>
        <c:smooth val="0"/>
        <c:axId val="780680720"/>
        <c:axId val="780681504"/>
      </c:lineChart>
      <c:catAx>
        <c:axId val="780680720"/>
        <c:scaling>
          <c:orientation val="minMax"/>
        </c:scaling>
        <c:delete val="0"/>
        <c:axPos val="b"/>
        <c:numFmt formatCode="General" sourceLinked="0"/>
        <c:majorTickMark val="out"/>
        <c:minorTickMark val="none"/>
        <c:tickLblPos val="nextTo"/>
        <c:crossAx val="780681504"/>
        <c:crosses val="autoZero"/>
        <c:auto val="1"/>
        <c:lblAlgn val="ctr"/>
        <c:lblOffset val="100"/>
        <c:noMultiLvlLbl val="0"/>
      </c:catAx>
      <c:valAx>
        <c:axId val="780681504"/>
        <c:scaling>
          <c:orientation val="minMax"/>
        </c:scaling>
        <c:delete val="0"/>
        <c:axPos val="l"/>
        <c:majorGridlines>
          <c:spPr>
            <a:ln>
              <a:solidFill>
                <a:schemeClr val="bg1">
                  <a:lumMod val="75000"/>
                </a:schemeClr>
              </a:solidFill>
            </a:ln>
          </c:spPr>
        </c:majorGridlines>
        <c:numFmt formatCode="_-* #,##0.00_-;\-* #,##0.00_-;_-* &quot;-&quot;??_-;_-@_-" sourceLinked="1"/>
        <c:majorTickMark val="out"/>
        <c:minorTickMark val="none"/>
        <c:tickLblPos val="nextTo"/>
        <c:crossAx val="780680720"/>
        <c:crosses val="autoZero"/>
        <c:crossBetween val="between"/>
      </c:valAx>
    </c:plotArea>
    <c:legend>
      <c:legendPos val="r"/>
      <c:legendEntry>
        <c:idx val="0"/>
        <c:delete val="1"/>
      </c:legendEntry>
      <c:legendEntry>
        <c:idx val="1"/>
        <c:delete val="1"/>
      </c:legendEntry>
      <c:legendEntry>
        <c:idx val="3"/>
        <c:delete val="1"/>
      </c:legendEntry>
      <c:legendEntry>
        <c:idx val="4"/>
        <c:delete val="1"/>
      </c:legendEntry>
      <c:layout>
        <c:manualLayout>
          <c:xMode val="edge"/>
          <c:yMode val="edge"/>
          <c:x val="0.21105106635245244"/>
          <c:y val="7.4697467747149426E-3"/>
          <c:w val="0.66071453948102998"/>
          <c:h val="8.0855997730069656E-2"/>
        </c:manualLayout>
      </c:layout>
      <c:overlay val="0"/>
    </c:legend>
    <c:plotVisOnly val="1"/>
    <c:dispBlanksAs val="gap"/>
    <c:showDLblsOverMax val="0"/>
  </c:chart>
  <c:spPr>
    <a:ln>
      <a:noFill/>
    </a:ln>
  </c:spPr>
  <c:txPr>
    <a:bodyPr/>
    <a:lstStyle/>
    <a:p>
      <a:pPr>
        <a:defRPr>
          <a:latin typeface="Quicksand" pitchFamily="2" charset="0"/>
        </a:defRPr>
      </a:pPr>
      <a:endParaRPr lang="en-US"/>
    </a:p>
  </c:txPr>
  <c:printSettings>
    <c:headerFooter/>
    <c:pageMargins b="0.75000000000000033" l="0.70000000000000029" r="0.70000000000000029" t="0.75000000000000033" header="0.30000000000000016" footer="0.30000000000000016"/>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'Box Plots (2)'!$I$1</c:f>
          <c:strCache>
            <c:ptCount val="1"/>
            <c:pt idx="0">
              <c:v>Chart Title</c:v>
            </c:pt>
          </c:strCache>
        </c:strRef>
      </c:tx>
      <c:layout>
        <c:manualLayout>
          <c:xMode val="edge"/>
          <c:yMode val="edge"/>
          <c:x val="0.33042437111091444"/>
          <c:y val="9.2592592592592587E-3"/>
        </c:manualLayout>
      </c:layout>
      <c:overlay val="0"/>
    </c:title>
    <c:autoTitleDeleted val="0"/>
    <c:plotArea>
      <c:layout>
        <c:manualLayout>
          <c:layoutTarget val="inner"/>
          <c:xMode val="edge"/>
          <c:yMode val="edge"/>
          <c:x val="7.1988407699037624E-2"/>
          <c:y val="0.16251166520851543"/>
          <c:w val="0.89501174712711473"/>
          <c:h val="0.72150845727617441"/>
        </c:manualLayout>
      </c:layout>
      <c:lineChart>
        <c:grouping val="standard"/>
        <c:varyColors val="0"/>
        <c:ser>
          <c:idx val="0"/>
          <c:order val="0"/>
          <c:tx>
            <c:strRef>
              <c:f>'Box Plots (2)'!$I$2</c:f>
              <c:strCache>
                <c:ptCount val="1"/>
                <c:pt idx="0">
                  <c:v>Lower Quintile</c:v>
                </c:pt>
              </c:strCache>
            </c:strRef>
          </c:tx>
          <c:spPr>
            <a:ln>
              <a:noFill/>
            </a:ln>
          </c:spPr>
          <c:marker>
            <c:symbol val="none"/>
          </c:marker>
          <c:cat>
            <c:strRef>
              <c:f>'Box Plots (2)'!$J$1:$M$1</c:f>
              <c:strCache>
                <c:ptCount val="4"/>
                <c:pt idx="0">
                  <c:v>Group 1</c:v>
                </c:pt>
                <c:pt idx="1">
                  <c:v>Group 2</c:v>
                </c:pt>
                <c:pt idx="2">
                  <c:v>Group 3</c:v>
                </c:pt>
                <c:pt idx="3">
                  <c:v>Group 4</c:v>
                </c:pt>
              </c:strCache>
            </c:strRef>
          </c:cat>
          <c:val>
            <c:numRef>
              <c:f>'Box Plots (2)'!$J$2:$M$2</c:f>
              <c:numCache>
                <c:formatCode>General</c:formatCode>
                <c:ptCount val="4"/>
                <c:pt idx="0">
                  <c:v>6</c:v>
                </c:pt>
                <c:pt idx="1">
                  <c:v>3</c:v>
                </c:pt>
                <c:pt idx="2">
                  <c:v>4.75</c:v>
                </c:pt>
                <c:pt idx="3">
                  <c:v>6</c:v>
                </c:pt>
              </c:numCache>
            </c:numRef>
          </c:val>
          <c:smooth val="0"/>
          <c:extLst>
            <c:ext xmlns:c16="http://schemas.microsoft.com/office/drawing/2014/chart" uri="{C3380CC4-5D6E-409C-BE32-E72D297353CC}">
              <c16:uniqueId val="{00000000-3D07-425A-AE47-B00353C6BBFF}"/>
            </c:ext>
          </c:extLst>
        </c:ser>
        <c:ser>
          <c:idx val="1"/>
          <c:order val="1"/>
          <c:tx>
            <c:strRef>
              <c:f>'Box Plots (2)'!$I$3</c:f>
              <c:strCache>
                <c:ptCount val="1"/>
                <c:pt idx="0">
                  <c:v>Min</c:v>
                </c:pt>
              </c:strCache>
            </c:strRef>
          </c:tx>
          <c:spPr>
            <a:ln>
              <a:noFill/>
            </a:ln>
          </c:spPr>
          <c:marker>
            <c:symbol val="dash"/>
            <c:size val="11"/>
            <c:spPr>
              <a:solidFill>
                <a:schemeClr val="tx1"/>
              </a:solidFill>
              <a:ln>
                <a:solidFill>
                  <a:schemeClr val="tx1"/>
                </a:solidFill>
              </a:ln>
            </c:spPr>
          </c:marker>
          <c:cat>
            <c:strRef>
              <c:f>'Box Plots (2)'!$J$1:$M$1</c:f>
              <c:strCache>
                <c:ptCount val="4"/>
                <c:pt idx="0">
                  <c:v>Group 1</c:v>
                </c:pt>
                <c:pt idx="1">
                  <c:v>Group 2</c:v>
                </c:pt>
                <c:pt idx="2">
                  <c:v>Group 3</c:v>
                </c:pt>
                <c:pt idx="3">
                  <c:v>Group 4</c:v>
                </c:pt>
              </c:strCache>
            </c:strRef>
          </c:cat>
          <c:val>
            <c:numRef>
              <c:f>'Box Plots (2)'!$J$3:$M$3</c:f>
              <c:numCache>
                <c:formatCode>General</c:formatCode>
                <c:ptCount val="4"/>
                <c:pt idx="0">
                  <c:v>1</c:v>
                </c:pt>
                <c:pt idx="1">
                  <c:v>1</c:v>
                </c:pt>
                <c:pt idx="2">
                  <c:v>0</c:v>
                </c:pt>
                <c:pt idx="3">
                  <c:v>2</c:v>
                </c:pt>
              </c:numCache>
            </c:numRef>
          </c:val>
          <c:smooth val="0"/>
          <c:extLst>
            <c:ext xmlns:c16="http://schemas.microsoft.com/office/drawing/2014/chart" uri="{C3380CC4-5D6E-409C-BE32-E72D297353CC}">
              <c16:uniqueId val="{00000001-3D07-425A-AE47-B00353C6BBFF}"/>
            </c:ext>
          </c:extLst>
        </c:ser>
        <c:ser>
          <c:idx val="2"/>
          <c:order val="2"/>
          <c:tx>
            <c:strRef>
              <c:f>'Box Plots (2)'!$I$4</c:f>
              <c:strCache>
                <c:ptCount val="1"/>
                <c:pt idx="0">
                  <c:v>Median</c:v>
                </c:pt>
              </c:strCache>
            </c:strRef>
          </c:tx>
          <c:spPr>
            <a:ln>
              <a:noFill/>
            </a:ln>
          </c:spPr>
          <c:marker>
            <c:symbol val="circle"/>
            <c:size val="7"/>
            <c:spPr>
              <a:solidFill>
                <a:srgbClr val="FF0000"/>
              </a:solidFill>
              <a:ln>
                <a:solidFill>
                  <a:srgbClr val="FF0000"/>
                </a:solidFill>
              </a:ln>
            </c:spPr>
          </c:marker>
          <c:cat>
            <c:strRef>
              <c:f>'Box Plots (2)'!$J$1:$M$1</c:f>
              <c:strCache>
                <c:ptCount val="4"/>
                <c:pt idx="0">
                  <c:v>Group 1</c:v>
                </c:pt>
                <c:pt idx="1">
                  <c:v>Group 2</c:v>
                </c:pt>
                <c:pt idx="2">
                  <c:v>Group 3</c:v>
                </c:pt>
                <c:pt idx="3">
                  <c:v>Group 4</c:v>
                </c:pt>
              </c:strCache>
            </c:strRef>
          </c:cat>
          <c:val>
            <c:numRef>
              <c:f>'Box Plots (2)'!$J$4:$M$4</c:f>
              <c:numCache>
                <c:formatCode>General</c:formatCode>
                <c:ptCount val="4"/>
                <c:pt idx="0">
                  <c:v>8</c:v>
                </c:pt>
                <c:pt idx="1">
                  <c:v>5.5</c:v>
                </c:pt>
                <c:pt idx="2">
                  <c:v>7</c:v>
                </c:pt>
                <c:pt idx="3">
                  <c:v>7</c:v>
                </c:pt>
              </c:numCache>
            </c:numRef>
          </c:val>
          <c:smooth val="0"/>
          <c:extLst>
            <c:ext xmlns:c16="http://schemas.microsoft.com/office/drawing/2014/chart" uri="{C3380CC4-5D6E-409C-BE32-E72D297353CC}">
              <c16:uniqueId val="{00000002-3D07-425A-AE47-B00353C6BBFF}"/>
            </c:ext>
          </c:extLst>
        </c:ser>
        <c:ser>
          <c:idx val="3"/>
          <c:order val="3"/>
          <c:tx>
            <c:strRef>
              <c:f>'Box Plots (2)'!$I$5</c:f>
              <c:strCache>
                <c:ptCount val="1"/>
                <c:pt idx="0">
                  <c:v>Max</c:v>
                </c:pt>
              </c:strCache>
            </c:strRef>
          </c:tx>
          <c:spPr>
            <a:ln>
              <a:noFill/>
            </a:ln>
          </c:spPr>
          <c:marker>
            <c:symbol val="dash"/>
            <c:size val="11"/>
            <c:spPr>
              <a:solidFill>
                <a:schemeClr val="tx1"/>
              </a:solidFill>
              <a:ln>
                <a:solidFill>
                  <a:schemeClr val="tx1"/>
                </a:solidFill>
              </a:ln>
            </c:spPr>
          </c:marker>
          <c:cat>
            <c:strRef>
              <c:f>'Box Plots (2)'!$J$1:$M$1</c:f>
              <c:strCache>
                <c:ptCount val="4"/>
                <c:pt idx="0">
                  <c:v>Group 1</c:v>
                </c:pt>
                <c:pt idx="1">
                  <c:v>Group 2</c:v>
                </c:pt>
                <c:pt idx="2">
                  <c:v>Group 3</c:v>
                </c:pt>
                <c:pt idx="3">
                  <c:v>Group 4</c:v>
                </c:pt>
              </c:strCache>
            </c:strRef>
          </c:cat>
          <c:val>
            <c:numRef>
              <c:f>'Box Plots (2)'!$J$5:$M$5</c:f>
              <c:numCache>
                <c:formatCode>General</c:formatCode>
                <c:ptCount val="4"/>
                <c:pt idx="0">
                  <c:v>13</c:v>
                </c:pt>
                <c:pt idx="1">
                  <c:v>15</c:v>
                </c:pt>
                <c:pt idx="2">
                  <c:v>15</c:v>
                </c:pt>
                <c:pt idx="3">
                  <c:v>14</c:v>
                </c:pt>
              </c:numCache>
            </c:numRef>
          </c:val>
          <c:smooth val="0"/>
          <c:extLst>
            <c:ext xmlns:c16="http://schemas.microsoft.com/office/drawing/2014/chart" uri="{C3380CC4-5D6E-409C-BE32-E72D297353CC}">
              <c16:uniqueId val="{00000003-3D07-425A-AE47-B00353C6BBFF}"/>
            </c:ext>
          </c:extLst>
        </c:ser>
        <c:ser>
          <c:idx val="4"/>
          <c:order val="4"/>
          <c:tx>
            <c:strRef>
              <c:f>'Box Plots (2)'!$I$6</c:f>
              <c:strCache>
                <c:ptCount val="1"/>
                <c:pt idx="0">
                  <c:v>Upper Quartile</c:v>
                </c:pt>
              </c:strCache>
            </c:strRef>
          </c:tx>
          <c:spPr>
            <a:ln>
              <a:noFill/>
            </a:ln>
          </c:spPr>
          <c:marker>
            <c:symbol val="none"/>
          </c:marker>
          <c:cat>
            <c:strRef>
              <c:f>'Box Plots (2)'!$J$1:$M$1</c:f>
              <c:strCache>
                <c:ptCount val="4"/>
                <c:pt idx="0">
                  <c:v>Group 1</c:v>
                </c:pt>
                <c:pt idx="1">
                  <c:v>Group 2</c:v>
                </c:pt>
                <c:pt idx="2">
                  <c:v>Group 3</c:v>
                </c:pt>
                <c:pt idx="3">
                  <c:v>Group 4</c:v>
                </c:pt>
              </c:strCache>
            </c:strRef>
          </c:cat>
          <c:val>
            <c:numRef>
              <c:f>'Box Plots (2)'!$J$6:$M$6</c:f>
              <c:numCache>
                <c:formatCode>General</c:formatCode>
                <c:ptCount val="4"/>
                <c:pt idx="0">
                  <c:v>10</c:v>
                </c:pt>
                <c:pt idx="1">
                  <c:v>8.75</c:v>
                </c:pt>
                <c:pt idx="2">
                  <c:v>10.25</c:v>
                </c:pt>
                <c:pt idx="3">
                  <c:v>9.5</c:v>
                </c:pt>
              </c:numCache>
            </c:numRef>
          </c:val>
          <c:smooth val="0"/>
          <c:extLst>
            <c:ext xmlns:c16="http://schemas.microsoft.com/office/drawing/2014/chart" uri="{C3380CC4-5D6E-409C-BE32-E72D297353CC}">
              <c16:uniqueId val="{00000004-3D07-425A-AE47-B00353C6BBFF}"/>
            </c:ext>
          </c:extLst>
        </c:ser>
        <c:dLbls>
          <c:showLegendKey val="0"/>
          <c:showVal val="0"/>
          <c:showCatName val="0"/>
          <c:showSerName val="0"/>
          <c:showPercent val="0"/>
          <c:showBubbleSize val="0"/>
        </c:dLbls>
        <c:hiLowLines/>
        <c:upDownBars>
          <c:gapWidth val="150"/>
          <c:upBars/>
          <c:downBars/>
        </c:upDownBars>
        <c:smooth val="0"/>
        <c:axId val="780682288"/>
        <c:axId val="780684640"/>
      </c:lineChart>
      <c:catAx>
        <c:axId val="780682288"/>
        <c:scaling>
          <c:orientation val="minMax"/>
        </c:scaling>
        <c:delete val="0"/>
        <c:axPos val="b"/>
        <c:numFmt formatCode="General" sourceLinked="0"/>
        <c:majorTickMark val="out"/>
        <c:minorTickMark val="none"/>
        <c:tickLblPos val="nextTo"/>
        <c:crossAx val="780684640"/>
        <c:crosses val="autoZero"/>
        <c:auto val="1"/>
        <c:lblAlgn val="ctr"/>
        <c:lblOffset val="100"/>
        <c:noMultiLvlLbl val="0"/>
      </c:catAx>
      <c:valAx>
        <c:axId val="780684640"/>
        <c:scaling>
          <c:orientation val="minMax"/>
        </c:scaling>
        <c:delete val="0"/>
        <c:axPos val="l"/>
        <c:majorGridlines/>
        <c:numFmt formatCode="General" sourceLinked="1"/>
        <c:majorTickMark val="out"/>
        <c:minorTickMark val="none"/>
        <c:tickLblPos val="nextTo"/>
        <c:crossAx val="780682288"/>
        <c:crosses val="autoZero"/>
        <c:crossBetween val="between"/>
      </c:valAx>
    </c:plotArea>
    <c:legend>
      <c:legendPos val="r"/>
      <c:legendEntry>
        <c:idx val="0"/>
        <c:delete val="1"/>
      </c:legendEntry>
      <c:legendEntry>
        <c:idx val="1"/>
        <c:delete val="1"/>
      </c:legendEntry>
      <c:legendEntry>
        <c:idx val="3"/>
        <c:delete val="1"/>
      </c:legendEntry>
      <c:legendEntry>
        <c:idx val="4"/>
        <c:delete val="1"/>
      </c:legendEntry>
      <c:layout>
        <c:manualLayout>
          <c:xMode val="edge"/>
          <c:yMode val="edge"/>
          <c:x val="0.81057064496151454"/>
          <c:y val="4.147455526392535E-2"/>
          <c:w val="0.11598467913029858"/>
          <c:h val="8.3717191601049915E-2"/>
        </c:manualLayout>
      </c:layout>
      <c:overlay val="0"/>
    </c:legend>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'Box Plots'!$I$1</c:f>
          <c:strCache>
            <c:ptCount val="1"/>
            <c:pt idx="0">
              <c:v>Chart Title</c:v>
            </c:pt>
          </c:strCache>
        </c:strRef>
      </c:tx>
      <c:layout>
        <c:manualLayout>
          <c:xMode val="edge"/>
          <c:yMode val="edge"/>
          <c:x val="0.33042437111091444"/>
          <c:y val="9.2592592592592587E-3"/>
        </c:manualLayout>
      </c:layout>
      <c:overlay val="0"/>
    </c:title>
    <c:autoTitleDeleted val="0"/>
    <c:plotArea>
      <c:layout>
        <c:manualLayout>
          <c:layoutTarget val="inner"/>
          <c:xMode val="edge"/>
          <c:yMode val="edge"/>
          <c:x val="7.1988407699037624E-2"/>
          <c:y val="0.16251166520851543"/>
          <c:w val="0.89501174712711473"/>
          <c:h val="0.72150845727617441"/>
        </c:manualLayout>
      </c:layout>
      <c:lineChart>
        <c:grouping val="standard"/>
        <c:varyColors val="0"/>
        <c:ser>
          <c:idx val="0"/>
          <c:order val="0"/>
          <c:tx>
            <c:strRef>
              <c:f>'Box Plots'!$I$2</c:f>
              <c:strCache>
                <c:ptCount val="1"/>
                <c:pt idx="0">
                  <c:v>Lower Quintile</c:v>
                </c:pt>
              </c:strCache>
            </c:strRef>
          </c:tx>
          <c:spPr>
            <a:ln>
              <a:noFill/>
            </a:ln>
          </c:spPr>
          <c:marker>
            <c:symbol val="none"/>
          </c:marker>
          <c:cat>
            <c:strRef>
              <c:f>'Box Plots'!$J$1:$M$1</c:f>
              <c:strCache>
                <c:ptCount val="4"/>
                <c:pt idx="0">
                  <c:v>Group 1</c:v>
                </c:pt>
                <c:pt idx="1">
                  <c:v>Group 2</c:v>
                </c:pt>
                <c:pt idx="2">
                  <c:v>Group 3</c:v>
                </c:pt>
                <c:pt idx="3">
                  <c:v>Group 4</c:v>
                </c:pt>
              </c:strCache>
            </c:strRef>
          </c:cat>
          <c:val>
            <c:numRef>
              <c:f>'Box Plots'!$J$2:$M$2</c:f>
              <c:numCache>
                <c:formatCode>General</c:formatCode>
                <c:ptCount val="4"/>
                <c:pt idx="0">
                  <c:v>20.18</c:v>
                </c:pt>
                <c:pt idx="1">
                  <c:v>20.407499999999999</c:v>
                </c:pt>
                <c:pt idx="2">
                  <c:v>0</c:v>
                </c:pt>
                <c:pt idx="3">
                  <c:v>0</c:v>
                </c:pt>
              </c:numCache>
            </c:numRef>
          </c:val>
          <c:smooth val="0"/>
          <c:extLst>
            <c:ext xmlns:c16="http://schemas.microsoft.com/office/drawing/2014/chart" uri="{C3380CC4-5D6E-409C-BE32-E72D297353CC}">
              <c16:uniqueId val="{00000000-B817-4EFC-A365-DF7B6A913FD0}"/>
            </c:ext>
          </c:extLst>
        </c:ser>
        <c:ser>
          <c:idx val="1"/>
          <c:order val="1"/>
          <c:tx>
            <c:strRef>
              <c:f>'Box Plots'!$I$3</c:f>
              <c:strCache>
                <c:ptCount val="1"/>
                <c:pt idx="0">
                  <c:v>Min</c:v>
                </c:pt>
              </c:strCache>
            </c:strRef>
          </c:tx>
          <c:spPr>
            <a:ln>
              <a:noFill/>
            </a:ln>
          </c:spPr>
          <c:marker>
            <c:symbol val="dash"/>
            <c:size val="11"/>
            <c:spPr>
              <a:solidFill>
                <a:schemeClr val="tx1"/>
              </a:solidFill>
              <a:ln>
                <a:solidFill>
                  <a:schemeClr val="tx1"/>
                </a:solidFill>
              </a:ln>
            </c:spPr>
          </c:marker>
          <c:cat>
            <c:strRef>
              <c:f>'Box Plots'!$J$1:$M$1</c:f>
              <c:strCache>
                <c:ptCount val="4"/>
                <c:pt idx="0">
                  <c:v>Group 1</c:v>
                </c:pt>
                <c:pt idx="1">
                  <c:v>Group 2</c:v>
                </c:pt>
                <c:pt idx="2">
                  <c:v>Group 3</c:v>
                </c:pt>
                <c:pt idx="3">
                  <c:v>Group 4</c:v>
                </c:pt>
              </c:strCache>
            </c:strRef>
          </c:cat>
          <c:val>
            <c:numRef>
              <c:f>'Box Plots'!$J$3:$M$3</c:f>
              <c:numCache>
                <c:formatCode>General</c:formatCode>
                <c:ptCount val="4"/>
                <c:pt idx="0">
                  <c:v>16.57</c:v>
                </c:pt>
                <c:pt idx="1">
                  <c:v>16.57</c:v>
                </c:pt>
                <c:pt idx="2">
                  <c:v>0</c:v>
                </c:pt>
                <c:pt idx="3">
                  <c:v>0</c:v>
                </c:pt>
              </c:numCache>
            </c:numRef>
          </c:val>
          <c:smooth val="0"/>
          <c:extLst>
            <c:ext xmlns:c16="http://schemas.microsoft.com/office/drawing/2014/chart" uri="{C3380CC4-5D6E-409C-BE32-E72D297353CC}">
              <c16:uniqueId val="{00000001-B817-4EFC-A365-DF7B6A913FD0}"/>
            </c:ext>
          </c:extLst>
        </c:ser>
        <c:ser>
          <c:idx val="2"/>
          <c:order val="2"/>
          <c:tx>
            <c:strRef>
              <c:f>'Box Plots'!$I$4</c:f>
              <c:strCache>
                <c:ptCount val="1"/>
                <c:pt idx="0">
                  <c:v>Median</c:v>
                </c:pt>
              </c:strCache>
            </c:strRef>
          </c:tx>
          <c:spPr>
            <a:ln>
              <a:noFill/>
            </a:ln>
          </c:spPr>
          <c:marker>
            <c:symbol val="circle"/>
            <c:size val="7"/>
            <c:spPr>
              <a:solidFill>
                <a:srgbClr val="FF0000"/>
              </a:solidFill>
              <a:ln>
                <a:solidFill>
                  <a:srgbClr val="FF0000"/>
                </a:solidFill>
              </a:ln>
            </c:spPr>
          </c:marker>
          <c:cat>
            <c:strRef>
              <c:f>'Box Plots'!$J$1:$M$1</c:f>
              <c:strCache>
                <c:ptCount val="4"/>
                <c:pt idx="0">
                  <c:v>Group 1</c:v>
                </c:pt>
                <c:pt idx="1">
                  <c:v>Group 2</c:v>
                </c:pt>
                <c:pt idx="2">
                  <c:v>Group 3</c:v>
                </c:pt>
                <c:pt idx="3">
                  <c:v>Group 4</c:v>
                </c:pt>
              </c:strCache>
            </c:strRef>
          </c:cat>
          <c:val>
            <c:numRef>
              <c:f>'Box Plots'!$J$4:$M$4</c:f>
              <c:numCache>
                <c:formatCode>General</c:formatCode>
                <c:ptCount val="4"/>
                <c:pt idx="0">
                  <c:v>21.7</c:v>
                </c:pt>
                <c:pt idx="1">
                  <c:v>21.759999999999998</c:v>
                </c:pt>
                <c:pt idx="2">
                  <c:v>0</c:v>
                </c:pt>
                <c:pt idx="3">
                  <c:v>0</c:v>
                </c:pt>
              </c:numCache>
            </c:numRef>
          </c:val>
          <c:smooth val="0"/>
          <c:extLst>
            <c:ext xmlns:c16="http://schemas.microsoft.com/office/drawing/2014/chart" uri="{C3380CC4-5D6E-409C-BE32-E72D297353CC}">
              <c16:uniqueId val="{00000002-B817-4EFC-A365-DF7B6A913FD0}"/>
            </c:ext>
          </c:extLst>
        </c:ser>
        <c:ser>
          <c:idx val="3"/>
          <c:order val="3"/>
          <c:tx>
            <c:strRef>
              <c:f>'Box Plots'!$I$5</c:f>
              <c:strCache>
                <c:ptCount val="1"/>
                <c:pt idx="0">
                  <c:v>Max</c:v>
                </c:pt>
              </c:strCache>
            </c:strRef>
          </c:tx>
          <c:spPr>
            <a:ln>
              <a:noFill/>
            </a:ln>
          </c:spPr>
          <c:marker>
            <c:symbol val="dash"/>
            <c:size val="11"/>
            <c:spPr>
              <a:solidFill>
                <a:schemeClr val="tx1"/>
              </a:solidFill>
              <a:ln>
                <a:solidFill>
                  <a:schemeClr val="tx1"/>
                </a:solidFill>
              </a:ln>
            </c:spPr>
          </c:marker>
          <c:cat>
            <c:strRef>
              <c:f>'Box Plots'!$J$1:$M$1</c:f>
              <c:strCache>
                <c:ptCount val="4"/>
                <c:pt idx="0">
                  <c:v>Group 1</c:v>
                </c:pt>
                <c:pt idx="1">
                  <c:v>Group 2</c:v>
                </c:pt>
                <c:pt idx="2">
                  <c:v>Group 3</c:v>
                </c:pt>
                <c:pt idx="3">
                  <c:v>Group 4</c:v>
                </c:pt>
              </c:strCache>
            </c:strRef>
          </c:cat>
          <c:val>
            <c:numRef>
              <c:f>'Box Plots'!$J$5:$M$5</c:f>
              <c:numCache>
                <c:formatCode>General</c:formatCode>
                <c:ptCount val="4"/>
                <c:pt idx="0">
                  <c:v>27.15</c:v>
                </c:pt>
                <c:pt idx="1">
                  <c:v>27.15</c:v>
                </c:pt>
                <c:pt idx="2">
                  <c:v>0</c:v>
                </c:pt>
                <c:pt idx="3">
                  <c:v>0</c:v>
                </c:pt>
              </c:numCache>
            </c:numRef>
          </c:val>
          <c:smooth val="0"/>
          <c:extLst>
            <c:ext xmlns:c16="http://schemas.microsoft.com/office/drawing/2014/chart" uri="{C3380CC4-5D6E-409C-BE32-E72D297353CC}">
              <c16:uniqueId val="{00000003-B817-4EFC-A365-DF7B6A913FD0}"/>
            </c:ext>
          </c:extLst>
        </c:ser>
        <c:ser>
          <c:idx val="4"/>
          <c:order val="4"/>
          <c:tx>
            <c:strRef>
              <c:f>'Box Plots'!$I$6</c:f>
              <c:strCache>
                <c:ptCount val="1"/>
                <c:pt idx="0">
                  <c:v>Upper Quartile</c:v>
                </c:pt>
              </c:strCache>
            </c:strRef>
          </c:tx>
          <c:spPr>
            <a:ln>
              <a:noFill/>
            </a:ln>
          </c:spPr>
          <c:marker>
            <c:symbol val="none"/>
          </c:marker>
          <c:cat>
            <c:strRef>
              <c:f>'Box Plots'!$J$1:$M$1</c:f>
              <c:strCache>
                <c:ptCount val="4"/>
                <c:pt idx="0">
                  <c:v>Group 1</c:v>
                </c:pt>
                <c:pt idx="1">
                  <c:v>Group 2</c:v>
                </c:pt>
                <c:pt idx="2">
                  <c:v>Group 3</c:v>
                </c:pt>
                <c:pt idx="3">
                  <c:v>Group 4</c:v>
                </c:pt>
              </c:strCache>
            </c:strRef>
          </c:cat>
          <c:val>
            <c:numRef>
              <c:f>'Box Plots'!$J$6:$M$6</c:f>
              <c:numCache>
                <c:formatCode>General</c:formatCode>
                <c:ptCount val="4"/>
                <c:pt idx="0">
                  <c:v>23.48</c:v>
                </c:pt>
                <c:pt idx="1">
                  <c:v>23.177499999999998</c:v>
                </c:pt>
                <c:pt idx="2">
                  <c:v>0</c:v>
                </c:pt>
                <c:pt idx="3">
                  <c:v>0</c:v>
                </c:pt>
              </c:numCache>
            </c:numRef>
          </c:val>
          <c:smooth val="0"/>
          <c:extLst>
            <c:ext xmlns:c16="http://schemas.microsoft.com/office/drawing/2014/chart" uri="{C3380CC4-5D6E-409C-BE32-E72D297353CC}">
              <c16:uniqueId val="{00000004-B817-4EFC-A365-DF7B6A913FD0}"/>
            </c:ext>
          </c:extLst>
        </c:ser>
        <c:dLbls>
          <c:showLegendKey val="0"/>
          <c:showVal val="0"/>
          <c:showCatName val="0"/>
          <c:showSerName val="0"/>
          <c:showPercent val="0"/>
          <c:showBubbleSize val="0"/>
        </c:dLbls>
        <c:hiLowLines/>
        <c:upDownBars>
          <c:gapWidth val="150"/>
          <c:upBars/>
          <c:downBars/>
        </c:upDownBars>
        <c:smooth val="0"/>
        <c:axId val="780682288"/>
        <c:axId val="780684640"/>
      </c:lineChart>
      <c:catAx>
        <c:axId val="780682288"/>
        <c:scaling>
          <c:orientation val="minMax"/>
        </c:scaling>
        <c:delete val="0"/>
        <c:axPos val="b"/>
        <c:numFmt formatCode="General" sourceLinked="0"/>
        <c:majorTickMark val="out"/>
        <c:minorTickMark val="none"/>
        <c:tickLblPos val="nextTo"/>
        <c:crossAx val="780684640"/>
        <c:crosses val="autoZero"/>
        <c:auto val="1"/>
        <c:lblAlgn val="ctr"/>
        <c:lblOffset val="100"/>
        <c:noMultiLvlLbl val="0"/>
      </c:catAx>
      <c:valAx>
        <c:axId val="780684640"/>
        <c:scaling>
          <c:orientation val="minMax"/>
        </c:scaling>
        <c:delete val="0"/>
        <c:axPos val="l"/>
        <c:majorGridlines/>
        <c:numFmt formatCode="General" sourceLinked="1"/>
        <c:majorTickMark val="out"/>
        <c:minorTickMark val="none"/>
        <c:tickLblPos val="nextTo"/>
        <c:crossAx val="780682288"/>
        <c:crosses val="autoZero"/>
        <c:crossBetween val="between"/>
      </c:valAx>
    </c:plotArea>
    <c:legend>
      <c:legendPos val="r"/>
      <c:legendEntry>
        <c:idx val="0"/>
        <c:delete val="1"/>
      </c:legendEntry>
      <c:legendEntry>
        <c:idx val="1"/>
        <c:delete val="1"/>
      </c:legendEntry>
      <c:legendEntry>
        <c:idx val="3"/>
        <c:delete val="1"/>
      </c:legendEntry>
      <c:legendEntry>
        <c:idx val="4"/>
        <c:delete val="1"/>
      </c:legendEntry>
      <c:layout>
        <c:manualLayout>
          <c:xMode val="edge"/>
          <c:yMode val="edge"/>
          <c:x val="0.81057064496151454"/>
          <c:y val="4.147455526392535E-2"/>
          <c:w val="0.11598467913029858"/>
          <c:h val="8.3717191601049915E-2"/>
        </c:manualLayout>
      </c:layout>
      <c:overlay val="0"/>
    </c:legend>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Pareto!$B$2</c:f>
          <c:strCache>
            <c:ptCount val="1"/>
            <c:pt idx="0">
              <c:v>Company XYZ Security Risk Assessment</c:v>
            </c:pt>
          </c:strCache>
        </c:strRef>
      </c:tx>
      <c:overlay val="1"/>
      <c:txPr>
        <a:bodyPr/>
        <a:lstStyle/>
        <a:p>
          <a:pPr>
            <a:defRPr sz="1600"/>
          </a:pPr>
          <a:endParaRPr lang="en-US"/>
        </a:p>
      </c:txPr>
    </c:title>
    <c:autoTitleDeleted val="0"/>
    <c:plotArea>
      <c:layout>
        <c:manualLayout>
          <c:layoutTarget val="inner"/>
          <c:xMode val="edge"/>
          <c:yMode val="edge"/>
          <c:x val="0.12548381452318461"/>
          <c:y val="0.19093309077322165"/>
          <c:w val="0.75842125984251973"/>
          <c:h val="0.49726874864095905"/>
        </c:manualLayout>
      </c:layout>
      <c:barChart>
        <c:barDir val="col"/>
        <c:grouping val="clustered"/>
        <c:varyColors val="0"/>
        <c:ser>
          <c:idx val="0"/>
          <c:order val="0"/>
          <c:tx>
            <c:strRef>
              <c:f>Pareto!$C$3</c:f>
              <c:strCache>
                <c:ptCount val="1"/>
                <c:pt idx="0">
                  <c:v>Value</c:v>
                </c:pt>
              </c:strCache>
            </c:strRef>
          </c:tx>
          <c:spPr>
            <a:solidFill>
              <a:schemeClr val="accent3"/>
            </a:solidFill>
          </c:spPr>
          <c:invertIfNegative val="0"/>
          <c:cat>
            <c:strRef>
              <c:f>Pareto!$B$4:$B$11</c:f>
              <c:strCache>
                <c:ptCount val="8"/>
                <c:pt idx="0">
                  <c:v>Data  Leaks</c:v>
                </c:pt>
                <c:pt idx="1">
                  <c:v>Identity Theft</c:v>
                </c:pt>
                <c:pt idx="2">
                  <c:v>Fraud</c:v>
                </c:pt>
                <c:pt idx="3">
                  <c:v>Malicious Activity</c:v>
                </c:pt>
                <c:pt idx="4">
                  <c:v>Phishing</c:v>
                </c:pt>
                <c:pt idx="5">
                  <c:v>Hacking</c:v>
                </c:pt>
                <c:pt idx="6">
                  <c:v>Ransomware</c:v>
                </c:pt>
                <c:pt idx="7">
                  <c:v>All others</c:v>
                </c:pt>
              </c:strCache>
            </c:strRef>
          </c:cat>
          <c:val>
            <c:numRef>
              <c:f>Pareto!$C$4:$C$11</c:f>
              <c:numCache>
                <c:formatCode>General</c:formatCode>
                <c:ptCount val="8"/>
                <c:pt idx="0">
                  <c:v>294</c:v>
                </c:pt>
                <c:pt idx="1">
                  <c:v>245</c:v>
                </c:pt>
                <c:pt idx="2">
                  <c:v>240</c:v>
                </c:pt>
                <c:pt idx="3">
                  <c:v>180</c:v>
                </c:pt>
                <c:pt idx="4">
                  <c:v>168</c:v>
                </c:pt>
                <c:pt idx="5">
                  <c:v>147</c:v>
                </c:pt>
                <c:pt idx="6">
                  <c:v>144</c:v>
                </c:pt>
                <c:pt idx="7">
                  <c:v>126</c:v>
                </c:pt>
              </c:numCache>
            </c:numRef>
          </c:val>
          <c:extLst>
            <c:ext xmlns:c16="http://schemas.microsoft.com/office/drawing/2014/chart" uri="{C3380CC4-5D6E-409C-BE32-E72D297353CC}">
              <c16:uniqueId val="{00000000-A18F-4792-BA10-A5F1686ADE24}"/>
            </c:ext>
          </c:extLst>
        </c:ser>
        <c:dLbls>
          <c:showLegendKey val="0"/>
          <c:showVal val="0"/>
          <c:showCatName val="0"/>
          <c:showSerName val="0"/>
          <c:showPercent val="0"/>
          <c:showBubbleSize val="0"/>
        </c:dLbls>
        <c:gapWidth val="8"/>
        <c:axId val="780683856"/>
        <c:axId val="780677976"/>
      </c:barChart>
      <c:lineChart>
        <c:grouping val="standard"/>
        <c:varyColors val="0"/>
        <c:ser>
          <c:idx val="3"/>
          <c:order val="1"/>
          <c:tx>
            <c:strRef>
              <c:f>Pareto!$F$3</c:f>
              <c:strCache>
                <c:ptCount val="1"/>
                <c:pt idx="0">
                  <c:v>% cumulative</c:v>
                </c:pt>
              </c:strCache>
            </c:strRef>
          </c:tx>
          <c:spPr>
            <a:ln>
              <a:solidFill>
                <a:srgbClr val="FF0000"/>
              </a:solidFill>
            </a:ln>
          </c:spPr>
          <c:marker>
            <c:symbol val="none"/>
          </c:marker>
          <c:dLbls>
            <c:numFmt formatCode="0%" sourceLinked="0"/>
            <c:spPr>
              <a:noFill/>
              <a:ln>
                <a:noFill/>
              </a:ln>
              <a:effectLst/>
            </c:spPr>
            <c:txPr>
              <a:bodyPr wrap="square" lIns="38100" tIns="19050" rIns="38100" bIns="19050" anchor="ctr">
                <a:spAutoFit/>
              </a:bodyPr>
              <a:lstStyle/>
              <a:p>
                <a:pPr>
                  <a:defRPr b="1"/>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Pareto!$B$4:$B$11</c:f>
              <c:strCache>
                <c:ptCount val="8"/>
                <c:pt idx="0">
                  <c:v>Data  Leaks</c:v>
                </c:pt>
                <c:pt idx="1">
                  <c:v>Identity Theft</c:v>
                </c:pt>
                <c:pt idx="2">
                  <c:v>Fraud</c:v>
                </c:pt>
                <c:pt idx="3">
                  <c:v>Malicious Activity</c:v>
                </c:pt>
                <c:pt idx="4">
                  <c:v>Phishing</c:v>
                </c:pt>
                <c:pt idx="5">
                  <c:v>Hacking</c:v>
                </c:pt>
                <c:pt idx="6">
                  <c:v>Ransomware</c:v>
                </c:pt>
                <c:pt idx="7">
                  <c:v>All others</c:v>
                </c:pt>
              </c:strCache>
            </c:strRef>
          </c:cat>
          <c:val>
            <c:numRef>
              <c:f>Pareto!$F$4:$F$11</c:f>
              <c:numCache>
                <c:formatCode>0.0%</c:formatCode>
                <c:ptCount val="8"/>
                <c:pt idx="0">
                  <c:v>0.19041450777202074</c:v>
                </c:pt>
                <c:pt idx="1">
                  <c:v>0.34909326424870468</c:v>
                </c:pt>
                <c:pt idx="2">
                  <c:v>0.5045336787564767</c:v>
                </c:pt>
                <c:pt idx="3">
                  <c:v>0.62111398963730569</c:v>
                </c:pt>
                <c:pt idx="4">
                  <c:v>0.72992227979274615</c:v>
                </c:pt>
                <c:pt idx="5">
                  <c:v>0.82512953367875652</c:v>
                </c:pt>
                <c:pt idx="6">
                  <c:v>0.91839378238341973</c:v>
                </c:pt>
                <c:pt idx="7">
                  <c:v>1</c:v>
                </c:pt>
              </c:numCache>
            </c:numRef>
          </c:val>
          <c:smooth val="1"/>
          <c:extLst>
            <c:ext xmlns:c16="http://schemas.microsoft.com/office/drawing/2014/chart" uri="{C3380CC4-5D6E-409C-BE32-E72D297353CC}">
              <c16:uniqueId val="{00000001-A18F-4792-BA10-A5F1686ADE24}"/>
            </c:ext>
          </c:extLst>
        </c:ser>
        <c:dLbls>
          <c:showLegendKey val="0"/>
          <c:showVal val="0"/>
          <c:showCatName val="0"/>
          <c:showSerName val="0"/>
          <c:showPercent val="0"/>
          <c:showBubbleSize val="0"/>
        </c:dLbls>
        <c:marker val="1"/>
        <c:smooth val="0"/>
        <c:axId val="780686600"/>
        <c:axId val="780685032"/>
      </c:lineChart>
      <c:catAx>
        <c:axId val="780683856"/>
        <c:scaling>
          <c:orientation val="minMax"/>
        </c:scaling>
        <c:delete val="0"/>
        <c:axPos val="b"/>
        <c:numFmt formatCode="General" sourceLinked="0"/>
        <c:majorTickMark val="out"/>
        <c:minorTickMark val="none"/>
        <c:tickLblPos val="nextTo"/>
        <c:txPr>
          <a:bodyPr rot="-5400000" vert="horz"/>
          <a:lstStyle/>
          <a:p>
            <a:pPr>
              <a:defRPr sz="900"/>
            </a:pPr>
            <a:endParaRPr lang="en-US"/>
          </a:p>
        </c:txPr>
        <c:crossAx val="780677976"/>
        <c:crosses val="autoZero"/>
        <c:auto val="1"/>
        <c:lblAlgn val="ctr"/>
        <c:lblOffset val="100"/>
        <c:noMultiLvlLbl val="0"/>
      </c:catAx>
      <c:valAx>
        <c:axId val="780677976"/>
        <c:scaling>
          <c:orientation val="minMax"/>
        </c:scaling>
        <c:delete val="0"/>
        <c:axPos val="l"/>
        <c:majorGridlines/>
        <c:title>
          <c:tx>
            <c:rich>
              <a:bodyPr rot="-5400000" vert="horz"/>
              <a:lstStyle/>
              <a:p>
                <a:pPr>
                  <a:defRPr/>
                </a:pPr>
                <a:r>
                  <a:rPr lang="en-US"/>
                  <a:t>Count</a:t>
                </a:r>
              </a:p>
            </c:rich>
          </c:tx>
          <c:overlay val="0"/>
        </c:title>
        <c:numFmt formatCode="General" sourceLinked="1"/>
        <c:majorTickMark val="out"/>
        <c:minorTickMark val="none"/>
        <c:tickLblPos val="nextTo"/>
        <c:txPr>
          <a:bodyPr/>
          <a:lstStyle/>
          <a:p>
            <a:pPr>
              <a:defRPr sz="900"/>
            </a:pPr>
            <a:endParaRPr lang="en-US"/>
          </a:p>
        </c:txPr>
        <c:crossAx val="780683856"/>
        <c:crosses val="autoZero"/>
        <c:crossBetween val="between"/>
      </c:valAx>
      <c:valAx>
        <c:axId val="780685032"/>
        <c:scaling>
          <c:orientation val="minMax"/>
          <c:max val="1"/>
        </c:scaling>
        <c:delete val="0"/>
        <c:axPos val="r"/>
        <c:numFmt formatCode="0.0%" sourceLinked="1"/>
        <c:majorTickMark val="out"/>
        <c:minorTickMark val="none"/>
        <c:tickLblPos val="nextTo"/>
        <c:txPr>
          <a:bodyPr/>
          <a:lstStyle/>
          <a:p>
            <a:pPr>
              <a:defRPr sz="900"/>
            </a:pPr>
            <a:endParaRPr lang="en-US"/>
          </a:p>
        </c:txPr>
        <c:crossAx val="780686600"/>
        <c:crosses val="max"/>
        <c:crossBetween val="between"/>
      </c:valAx>
      <c:catAx>
        <c:axId val="780686600"/>
        <c:scaling>
          <c:orientation val="minMax"/>
        </c:scaling>
        <c:delete val="1"/>
        <c:axPos val="b"/>
        <c:numFmt formatCode="General" sourceLinked="1"/>
        <c:majorTickMark val="out"/>
        <c:minorTickMark val="none"/>
        <c:tickLblPos val="none"/>
        <c:crossAx val="780685032"/>
        <c:crosses val="autoZero"/>
        <c:auto val="1"/>
        <c:lblAlgn val="ctr"/>
        <c:lblOffset val="100"/>
        <c:noMultiLvlLbl val="0"/>
      </c:catAx>
    </c:plotArea>
    <c:plotVisOnly val="1"/>
    <c:dispBlanksAs val="gap"/>
    <c:showDLblsOverMax val="0"/>
  </c:chart>
  <c:spPr>
    <a:ln>
      <a:noFill/>
    </a:ln>
  </c:spPr>
  <c:printSettings>
    <c:headerFooter/>
    <c:pageMargins b="0.75000000000000033" l="0.70000000000000029" r="0.70000000000000029" t="0.75000000000000033" header="0.30000000000000016" footer="0.30000000000000016"/>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Individual Chart</a:t>
            </a:r>
          </a:p>
        </c:rich>
      </c:tx>
      <c:overlay val="1"/>
    </c:title>
    <c:autoTitleDeleted val="0"/>
    <c:plotArea>
      <c:layout>
        <c:manualLayout>
          <c:layoutTarget val="inner"/>
          <c:xMode val="edge"/>
          <c:yMode val="edge"/>
          <c:x val="5.2485911448955161E-2"/>
          <c:y val="0.14399314668999708"/>
          <c:w val="0.92936784014482743"/>
          <c:h val="0.74002697579469234"/>
        </c:manualLayout>
      </c:layout>
      <c:lineChart>
        <c:grouping val="standard"/>
        <c:varyColors val="0"/>
        <c:ser>
          <c:idx val="0"/>
          <c:order val="0"/>
          <c:tx>
            <c:strRef>
              <c:f>'I mR chart'!$AA$1</c:f>
              <c:strCache>
                <c:ptCount val="1"/>
                <c:pt idx="0">
                  <c:v>I chart</c:v>
                </c:pt>
              </c:strCache>
            </c:strRef>
          </c:tx>
          <c:spPr>
            <a:ln w="19050"/>
          </c:spPr>
          <c:marker>
            <c:symbol val="circle"/>
            <c:size val="5"/>
            <c:spPr>
              <a:ln>
                <a:solidFill>
                  <a:schemeClr val="tx1"/>
                </a:solidFill>
              </a:ln>
            </c:spPr>
          </c:marker>
          <c:val>
            <c:numRef>
              <c:f>'I mR chart'!$AA$2:$AA$22</c:f>
              <c:numCache>
                <c:formatCode>General</c:formatCode>
                <c:ptCount val="21"/>
                <c:pt idx="0">
                  <c:v>0.17</c:v>
                </c:pt>
                <c:pt idx="1">
                  <c:v>0.11</c:v>
                </c:pt>
                <c:pt idx="2">
                  <c:v>0.12</c:v>
                </c:pt>
                <c:pt idx="3">
                  <c:v>0.1</c:v>
                </c:pt>
                <c:pt idx="4">
                  <c:v>0.13</c:v>
                </c:pt>
                <c:pt idx="5">
                  <c:v>0.1</c:v>
                </c:pt>
                <c:pt idx="6">
                  <c:v>0.08</c:v>
                </c:pt>
                <c:pt idx="7">
                  <c:v>0.06</c:v>
                </c:pt>
                <c:pt idx="8">
                  <c:v>0.03</c:v>
                </c:pt>
                <c:pt idx="9">
                  <c:v>0.08</c:v>
                </c:pt>
                <c:pt idx="10">
                  <c:v>0.08</c:v>
                </c:pt>
                <c:pt idx="11">
                  <c:v>0.08</c:v>
                </c:pt>
                <c:pt idx="12">
                  <c:v>0.1</c:v>
                </c:pt>
                <c:pt idx="13">
                  <c:v>0.09</c:v>
                </c:pt>
                <c:pt idx="14">
                  <c:v>0.08</c:v>
                </c:pt>
                <c:pt idx="15">
                  <c:v>0.1</c:v>
                </c:pt>
                <c:pt idx="16">
                  <c:v>0.06</c:v>
                </c:pt>
                <c:pt idx="17">
                  <c:v>0.05</c:v>
                </c:pt>
                <c:pt idx="18">
                  <c:v>0.12</c:v>
                </c:pt>
                <c:pt idx="19">
                  <c:v>0.13</c:v>
                </c:pt>
                <c:pt idx="20">
                  <c:v>0.08</c:v>
                </c:pt>
              </c:numCache>
            </c:numRef>
          </c:val>
          <c:smooth val="0"/>
          <c:extLst>
            <c:ext xmlns:c16="http://schemas.microsoft.com/office/drawing/2014/chart" uri="{C3380CC4-5D6E-409C-BE32-E72D297353CC}">
              <c16:uniqueId val="{00000000-B1DA-4EF8-A5A7-25564F398734}"/>
            </c:ext>
          </c:extLst>
        </c:ser>
        <c:ser>
          <c:idx val="1"/>
          <c:order val="1"/>
          <c:tx>
            <c:strRef>
              <c:f>'I mR chart'!$AB$1</c:f>
              <c:strCache>
                <c:ptCount val="1"/>
                <c:pt idx="0">
                  <c:v>LCL</c:v>
                </c:pt>
              </c:strCache>
            </c:strRef>
          </c:tx>
          <c:spPr>
            <a:ln w="19050">
              <a:solidFill>
                <a:srgbClr val="FF0000"/>
              </a:solidFill>
              <a:prstDash val="dash"/>
            </a:ln>
          </c:spPr>
          <c:marker>
            <c:symbol val="none"/>
          </c:marker>
          <c:val>
            <c:numRef>
              <c:f>'I mR chart'!$AB$2:$AB$22</c:f>
              <c:numCache>
                <c:formatCode>General</c:formatCode>
                <c:ptCount val="21"/>
                <c:pt idx="0">
                  <c:v>-3.2680075962392557E-2</c:v>
                </c:pt>
                <c:pt idx="1">
                  <c:v>-3.2680075962392557E-2</c:v>
                </c:pt>
                <c:pt idx="2">
                  <c:v>-3.2680075962392557E-2</c:v>
                </c:pt>
                <c:pt idx="3">
                  <c:v>-3.2680075962392557E-2</c:v>
                </c:pt>
                <c:pt idx="4">
                  <c:v>-3.2680075962392557E-2</c:v>
                </c:pt>
                <c:pt idx="5">
                  <c:v>-3.2680075962392557E-2</c:v>
                </c:pt>
                <c:pt idx="6">
                  <c:v>-3.2680075962392557E-2</c:v>
                </c:pt>
                <c:pt idx="7">
                  <c:v>-3.2680075962392557E-2</c:v>
                </c:pt>
                <c:pt idx="8">
                  <c:v>-3.2680075962392557E-2</c:v>
                </c:pt>
                <c:pt idx="9">
                  <c:v>-3.2680075962392557E-2</c:v>
                </c:pt>
                <c:pt idx="10">
                  <c:v>-3.2680075962392557E-2</c:v>
                </c:pt>
                <c:pt idx="11">
                  <c:v>-3.2680075962392557E-2</c:v>
                </c:pt>
                <c:pt idx="12">
                  <c:v>-3.2680075962392557E-2</c:v>
                </c:pt>
                <c:pt idx="13">
                  <c:v>-3.2680075962392557E-2</c:v>
                </c:pt>
                <c:pt idx="14">
                  <c:v>-3.2680075962392557E-2</c:v>
                </c:pt>
                <c:pt idx="15">
                  <c:v>-3.2680075962392557E-2</c:v>
                </c:pt>
                <c:pt idx="16">
                  <c:v>-3.2680075962392557E-2</c:v>
                </c:pt>
                <c:pt idx="17">
                  <c:v>-3.2680075962392557E-2</c:v>
                </c:pt>
                <c:pt idx="18">
                  <c:v>-3.2680075962392557E-2</c:v>
                </c:pt>
                <c:pt idx="19">
                  <c:v>-3.2680075962392557E-2</c:v>
                </c:pt>
                <c:pt idx="20">
                  <c:v>-3.2680075962392557E-2</c:v>
                </c:pt>
              </c:numCache>
            </c:numRef>
          </c:val>
          <c:smooth val="0"/>
          <c:extLst>
            <c:ext xmlns:c16="http://schemas.microsoft.com/office/drawing/2014/chart" uri="{C3380CC4-5D6E-409C-BE32-E72D297353CC}">
              <c16:uniqueId val="{00000001-B1DA-4EF8-A5A7-25564F398734}"/>
            </c:ext>
          </c:extLst>
        </c:ser>
        <c:ser>
          <c:idx val="2"/>
          <c:order val="2"/>
          <c:tx>
            <c:strRef>
              <c:f>'I mR chart'!$AC$1</c:f>
              <c:strCache>
                <c:ptCount val="1"/>
                <c:pt idx="0">
                  <c:v>-2 sigma</c:v>
                </c:pt>
              </c:strCache>
            </c:strRef>
          </c:tx>
          <c:spPr>
            <a:ln w="19050">
              <a:solidFill>
                <a:schemeClr val="bg1">
                  <a:lumMod val="85000"/>
                </a:schemeClr>
              </a:solidFill>
              <a:prstDash val="sysDash"/>
            </a:ln>
          </c:spPr>
          <c:marker>
            <c:symbol val="none"/>
          </c:marker>
          <c:val>
            <c:numRef>
              <c:f>'I mR chart'!$AC$2:$AC$22</c:f>
              <c:numCache>
                <c:formatCode>General</c:formatCode>
                <c:ptCount val="21"/>
                <c:pt idx="0">
                  <c:v>1.2324393802849401E-2</c:v>
                </c:pt>
                <c:pt idx="1">
                  <c:v>1.2324393802849401E-2</c:v>
                </c:pt>
                <c:pt idx="2">
                  <c:v>1.2324393802849401E-2</c:v>
                </c:pt>
                <c:pt idx="3">
                  <c:v>1.2324393802849401E-2</c:v>
                </c:pt>
                <c:pt idx="4">
                  <c:v>1.2324393802849401E-2</c:v>
                </c:pt>
                <c:pt idx="5">
                  <c:v>1.2324393802849401E-2</c:v>
                </c:pt>
                <c:pt idx="6">
                  <c:v>1.2324393802849401E-2</c:v>
                </c:pt>
                <c:pt idx="7">
                  <c:v>1.2324393802849401E-2</c:v>
                </c:pt>
                <c:pt idx="8">
                  <c:v>1.2324393802849401E-2</c:v>
                </c:pt>
                <c:pt idx="9">
                  <c:v>1.2324393802849401E-2</c:v>
                </c:pt>
                <c:pt idx="10">
                  <c:v>1.2324393802849401E-2</c:v>
                </c:pt>
                <c:pt idx="11">
                  <c:v>1.2324393802849401E-2</c:v>
                </c:pt>
                <c:pt idx="12">
                  <c:v>1.2324393802849401E-2</c:v>
                </c:pt>
                <c:pt idx="13">
                  <c:v>1.2324393802849401E-2</c:v>
                </c:pt>
                <c:pt idx="14">
                  <c:v>1.2324393802849401E-2</c:v>
                </c:pt>
                <c:pt idx="15">
                  <c:v>1.2324393802849401E-2</c:v>
                </c:pt>
                <c:pt idx="16">
                  <c:v>1.2324393802849401E-2</c:v>
                </c:pt>
                <c:pt idx="17">
                  <c:v>1.2324393802849401E-2</c:v>
                </c:pt>
                <c:pt idx="18">
                  <c:v>1.2324393802849401E-2</c:v>
                </c:pt>
                <c:pt idx="19">
                  <c:v>1.2324393802849401E-2</c:v>
                </c:pt>
                <c:pt idx="20">
                  <c:v>1.2324393802849401E-2</c:v>
                </c:pt>
              </c:numCache>
            </c:numRef>
          </c:val>
          <c:smooth val="0"/>
          <c:extLst>
            <c:ext xmlns:c16="http://schemas.microsoft.com/office/drawing/2014/chart" uri="{C3380CC4-5D6E-409C-BE32-E72D297353CC}">
              <c16:uniqueId val="{00000002-B1DA-4EF8-A5A7-25564F398734}"/>
            </c:ext>
          </c:extLst>
        </c:ser>
        <c:ser>
          <c:idx val="3"/>
          <c:order val="3"/>
          <c:tx>
            <c:strRef>
              <c:f>'I mR chart'!$AD$1</c:f>
              <c:strCache>
                <c:ptCount val="1"/>
                <c:pt idx="0">
                  <c:v>-1 sigma</c:v>
                </c:pt>
              </c:strCache>
            </c:strRef>
          </c:tx>
          <c:spPr>
            <a:ln w="19050">
              <a:solidFill>
                <a:schemeClr val="bg1">
                  <a:lumMod val="85000"/>
                </a:schemeClr>
              </a:solidFill>
              <a:prstDash val="sysDash"/>
            </a:ln>
          </c:spPr>
          <c:marker>
            <c:symbol val="none"/>
          </c:marker>
          <c:val>
            <c:numRef>
              <c:f>'I mR chart'!$AD$2:$AD$22</c:f>
              <c:numCache>
                <c:formatCode>General</c:formatCode>
                <c:ptCount val="21"/>
                <c:pt idx="0">
                  <c:v>5.7328863568091366E-2</c:v>
                </c:pt>
                <c:pt idx="1">
                  <c:v>5.7328863568091366E-2</c:v>
                </c:pt>
                <c:pt idx="2">
                  <c:v>5.7328863568091366E-2</c:v>
                </c:pt>
                <c:pt idx="3">
                  <c:v>5.7328863568091366E-2</c:v>
                </c:pt>
                <c:pt idx="4">
                  <c:v>5.7328863568091366E-2</c:v>
                </c:pt>
                <c:pt idx="5">
                  <c:v>5.7328863568091366E-2</c:v>
                </c:pt>
                <c:pt idx="6">
                  <c:v>5.7328863568091366E-2</c:v>
                </c:pt>
                <c:pt idx="7">
                  <c:v>5.7328863568091366E-2</c:v>
                </c:pt>
                <c:pt idx="8">
                  <c:v>5.7328863568091366E-2</c:v>
                </c:pt>
                <c:pt idx="9">
                  <c:v>5.7328863568091366E-2</c:v>
                </c:pt>
                <c:pt idx="10">
                  <c:v>5.7328863568091366E-2</c:v>
                </c:pt>
                <c:pt idx="11">
                  <c:v>5.7328863568091366E-2</c:v>
                </c:pt>
                <c:pt idx="12">
                  <c:v>5.7328863568091366E-2</c:v>
                </c:pt>
                <c:pt idx="13">
                  <c:v>5.7328863568091366E-2</c:v>
                </c:pt>
                <c:pt idx="14">
                  <c:v>5.7328863568091366E-2</c:v>
                </c:pt>
                <c:pt idx="15">
                  <c:v>5.7328863568091366E-2</c:v>
                </c:pt>
                <c:pt idx="16">
                  <c:v>5.7328863568091366E-2</c:v>
                </c:pt>
                <c:pt idx="17">
                  <c:v>5.7328863568091366E-2</c:v>
                </c:pt>
                <c:pt idx="18">
                  <c:v>5.7328863568091366E-2</c:v>
                </c:pt>
                <c:pt idx="19">
                  <c:v>5.7328863568091366E-2</c:v>
                </c:pt>
                <c:pt idx="20">
                  <c:v>5.7328863568091366E-2</c:v>
                </c:pt>
              </c:numCache>
            </c:numRef>
          </c:val>
          <c:smooth val="0"/>
          <c:extLst>
            <c:ext xmlns:c16="http://schemas.microsoft.com/office/drawing/2014/chart" uri="{C3380CC4-5D6E-409C-BE32-E72D297353CC}">
              <c16:uniqueId val="{00000003-B1DA-4EF8-A5A7-25564F398734}"/>
            </c:ext>
          </c:extLst>
        </c:ser>
        <c:ser>
          <c:idx val="4"/>
          <c:order val="4"/>
          <c:tx>
            <c:strRef>
              <c:f>'I mR chart'!$AE$1</c:f>
              <c:strCache>
                <c:ptCount val="1"/>
                <c:pt idx="0">
                  <c:v>Mean of measurements</c:v>
                </c:pt>
              </c:strCache>
            </c:strRef>
          </c:tx>
          <c:spPr>
            <a:ln w="19050">
              <a:solidFill>
                <a:srgbClr val="00B050"/>
              </a:solidFill>
            </a:ln>
          </c:spPr>
          <c:marker>
            <c:symbol val="none"/>
          </c:marker>
          <c:val>
            <c:numRef>
              <c:f>'I mR chart'!$AE$2:$AE$22</c:f>
              <c:numCache>
                <c:formatCode>General</c:formatCode>
                <c:ptCount val="21"/>
                <c:pt idx="0">
                  <c:v>0.10233333333333333</c:v>
                </c:pt>
                <c:pt idx="1">
                  <c:v>0.10233333333333333</c:v>
                </c:pt>
                <c:pt idx="2">
                  <c:v>0.10233333333333333</c:v>
                </c:pt>
                <c:pt idx="3">
                  <c:v>0.10233333333333333</c:v>
                </c:pt>
                <c:pt idx="4">
                  <c:v>0.10233333333333333</c:v>
                </c:pt>
                <c:pt idx="5">
                  <c:v>0.10233333333333333</c:v>
                </c:pt>
                <c:pt idx="6">
                  <c:v>0.10233333333333333</c:v>
                </c:pt>
                <c:pt idx="7">
                  <c:v>0.10233333333333333</c:v>
                </c:pt>
                <c:pt idx="8">
                  <c:v>0.10233333333333333</c:v>
                </c:pt>
                <c:pt idx="9">
                  <c:v>0.10233333333333333</c:v>
                </c:pt>
                <c:pt idx="10">
                  <c:v>0.10233333333333333</c:v>
                </c:pt>
                <c:pt idx="11">
                  <c:v>0.10233333333333333</c:v>
                </c:pt>
                <c:pt idx="12">
                  <c:v>0.10233333333333333</c:v>
                </c:pt>
                <c:pt idx="13">
                  <c:v>0.10233333333333333</c:v>
                </c:pt>
                <c:pt idx="14">
                  <c:v>0.10233333333333333</c:v>
                </c:pt>
                <c:pt idx="15">
                  <c:v>0.10233333333333333</c:v>
                </c:pt>
                <c:pt idx="16">
                  <c:v>0.10233333333333333</c:v>
                </c:pt>
                <c:pt idx="17">
                  <c:v>0.10233333333333333</c:v>
                </c:pt>
                <c:pt idx="18">
                  <c:v>0.10233333333333333</c:v>
                </c:pt>
                <c:pt idx="19">
                  <c:v>0.10233333333333333</c:v>
                </c:pt>
                <c:pt idx="20">
                  <c:v>0.10233333333333333</c:v>
                </c:pt>
              </c:numCache>
            </c:numRef>
          </c:val>
          <c:smooth val="0"/>
          <c:extLst>
            <c:ext xmlns:c16="http://schemas.microsoft.com/office/drawing/2014/chart" uri="{C3380CC4-5D6E-409C-BE32-E72D297353CC}">
              <c16:uniqueId val="{00000004-B1DA-4EF8-A5A7-25564F398734}"/>
            </c:ext>
          </c:extLst>
        </c:ser>
        <c:ser>
          <c:idx val="5"/>
          <c:order val="5"/>
          <c:tx>
            <c:strRef>
              <c:f>'I mR chart'!$AF$1</c:f>
              <c:strCache>
                <c:ptCount val="1"/>
                <c:pt idx="0">
                  <c:v>+1 sigma</c:v>
                </c:pt>
              </c:strCache>
            </c:strRef>
          </c:tx>
          <c:spPr>
            <a:ln w="19050">
              <a:solidFill>
                <a:schemeClr val="bg1">
                  <a:lumMod val="85000"/>
                </a:schemeClr>
              </a:solidFill>
              <a:prstDash val="sysDash"/>
            </a:ln>
          </c:spPr>
          <c:marker>
            <c:symbol val="none"/>
          </c:marker>
          <c:val>
            <c:numRef>
              <c:f>'I mR chart'!$AF$2:$AF$22</c:f>
              <c:numCache>
                <c:formatCode>General</c:formatCode>
                <c:ptCount val="21"/>
                <c:pt idx="0">
                  <c:v>0.1473378030985753</c:v>
                </c:pt>
                <c:pt idx="1">
                  <c:v>0.1473378030985753</c:v>
                </c:pt>
                <c:pt idx="2">
                  <c:v>0.1473378030985753</c:v>
                </c:pt>
                <c:pt idx="3">
                  <c:v>0.1473378030985753</c:v>
                </c:pt>
                <c:pt idx="4">
                  <c:v>0.1473378030985753</c:v>
                </c:pt>
                <c:pt idx="5">
                  <c:v>0.1473378030985753</c:v>
                </c:pt>
                <c:pt idx="6">
                  <c:v>0.1473378030985753</c:v>
                </c:pt>
                <c:pt idx="7">
                  <c:v>0.1473378030985753</c:v>
                </c:pt>
                <c:pt idx="8">
                  <c:v>0.1473378030985753</c:v>
                </c:pt>
                <c:pt idx="9">
                  <c:v>0.1473378030985753</c:v>
                </c:pt>
                <c:pt idx="10">
                  <c:v>0.1473378030985753</c:v>
                </c:pt>
                <c:pt idx="11">
                  <c:v>0.1473378030985753</c:v>
                </c:pt>
                <c:pt idx="12">
                  <c:v>0.1473378030985753</c:v>
                </c:pt>
                <c:pt idx="13">
                  <c:v>0.1473378030985753</c:v>
                </c:pt>
                <c:pt idx="14">
                  <c:v>0.1473378030985753</c:v>
                </c:pt>
                <c:pt idx="15">
                  <c:v>0.1473378030985753</c:v>
                </c:pt>
                <c:pt idx="16">
                  <c:v>0.1473378030985753</c:v>
                </c:pt>
                <c:pt idx="17">
                  <c:v>0.1473378030985753</c:v>
                </c:pt>
                <c:pt idx="18">
                  <c:v>0.1473378030985753</c:v>
                </c:pt>
                <c:pt idx="19">
                  <c:v>0.1473378030985753</c:v>
                </c:pt>
                <c:pt idx="20">
                  <c:v>0.1473378030985753</c:v>
                </c:pt>
              </c:numCache>
            </c:numRef>
          </c:val>
          <c:smooth val="0"/>
          <c:extLst>
            <c:ext xmlns:c16="http://schemas.microsoft.com/office/drawing/2014/chart" uri="{C3380CC4-5D6E-409C-BE32-E72D297353CC}">
              <c16:uniqueId val="{00000005-B1DA-4EF8-A5A7-25564F398734}"/>
            </c:ext>
          </c:extLst>
        </c:ser>
        <c:ser>
          <c:idx val="6"/>
          <c:order val="6"/>
          <c:tx>
            <c:strRef>
              <c:f>'I mR chart'!$AG$1</c:f>
              <c:strCache>
                <c:ptCount val="1"/>
                <c:pt idx="0">
                  <c:v>+2 sigma</c:v>
                </c:pt>
              </c:strCache>
            </c:strRef>
          </c:tx>
          <c:spPr>
            <a:ln w="19050">
              <a:solidFill>
                <a:schemeClr val="bg1">
                  <a:lumMod val="85000"/>
                </a:schemeClr>
              </a:solidFill>
              <a:prstDash val="sysDash"/>
            </a:ln>
          </c:spPr>
          <c:marker>
            <c:symbol val="none"/>
          </c:marker>
          <c:val>
            <c:numRef>
              <c:f>'I mR chart'!$AG$2:$AG$22</c:f>
              <c:numCache>
                <c:formatCode>General</c:formatCode>
                <c:ptCount val="21"/>
                <c:pt idx="0">
                  <c:v>0.19234227286381728</c:v>
                </c:pt>
                <c:pt idx="1">
                  <c:v>0.19234227286381728</c:v>
                </c:pt>
                <c:pt idx="2">
                  <c:v>0.19234227286381728</c:v>
                </c:pt>
                <c:pt idx="3">
                  <c:v>0.19234227286381728</c:v>
                </c:pt>
                <c:pt idx="4">
                  <c:v>0.19234227286381728</c:v>
                </c:pt>
                <c:pt idx="5">
                  <c:v>0.19234227286381728</c:v>
                </c:pt>
                <c:pt idx="6">
                  <c:v>0.19234227286381728</c:v>
                </c:pt>
                <c:pt idx="7">
                  <c:v>0.19234227286381728</c:v>
                </c:pt>
                <c:pt idx="8">
                  <c:v>0.19234227286381728</c:v>
                </c:pt>
                <c:pt idx="9">
                  <c:v>0.19234227286381728</c:v>
                </c:pt>
                <c:pt idx="10">
                  <c:v>0.19234227286381728</c:v>
                </c:pt>
                <c:pt idx="11">
                  <c:v>0.19234227286381728</c:v>
                </c:pt>
                <c:pt idx="12">
                  <c:v>0.19234227286381728</c:v>
                </c:pt>
                <c:pt idx="13">
                  <c:v>0.19234227286381728</c:v>
                </c:pt>
                <c:pt idx="14">
                  <c:v>0.19234227286381728</c:v>
                </c:pt>
                <c:pt idx="15">
                  <c:v>0.19234227286381728</c:v>
                </c:pt>
                <c:pt idx="16">
                  <c:v>0.19234227286381728</c:v>
                </c:pt>
                <c:pt idx="17">
                  <c:v>0.19234227286381728</c:v>
                </c:pt>
                <c:pt idx="18">
                  <c:v>0.19234227286381728</c:v>
                </c:pt>
                <c:pt idx="19">
                  <c:v>0.19234227286381728</c:v>
                </c:pt>
                <c:pt idx="20">
                  <c:v>0.19234227286381728</c:v>
                </c:pt>
              </c:numCache>
            </c:numRef>
          </c:val>
          <c:smooth val="0"/>
          <c:extLst>
            <c:ext xmlns:c16="http://schemas.microsoft.com/office/drawing/2014/chart" uri="{C3380CC4-5D6E-409C-BE32-E72D297353CC}">
              <c16:uniqueId val="{00000006-B1DA-4EF8-A5A7-25564F398734}"/>
            </c:ext>
          </c:extLst>
        </c:ser>
        <c:ser>
          <c:idx val="7"/>
          <c:order val="7"/>
          <c:tx>
            <c:strRef>
              <c:f>'I mR chart'!$AH$1</c:f>
              <c:strCache>
                <c:ptCount val="1"/>
                <c:pt idx="0">
                  <c:v>UCL</c:v>
                </c:pt>
              </c:strCache>
            </c:strRef>
          </c:tx>
          <c:spPr>
            <a:ln w="19050">
              <a:solidFill>
                <a:srgbClr val="FF0000"/>
              </a:solidFill>
              <a:prstDash val="dash"/>
            </a:ln>
          </c:spPr>
          <c:marker>
            <c:symbol val="none"/>
          </c:marker>
          <c:val>
            <c:numRef>
              <c:f>'I mR chart'!$AH$2:$AH$22</c:f>
              <c:numCache>
                <c:formatCode>General</c:formatCode>
                <c:ptCount val="21"/>
                <c:pt idx="0">
                  <c:v>0.23734674262905922</c:v>
                </c:pt>
                <c:pt idx="1">
                  <c:v>0.23734674262905922</c:v>
                </c:pt>
                <c:pt idx="2">
                  <c:v>0.23734674262905922</c:v>
                </c:pt>
                <c:pt idx="3">
                  <c:v>0.23734674262905922</c:v>
                </c:pt>
                <c:pt idx="4">
                  <c:v>0.23734674262905922</c:v>
                </c:pt>
                <c:pt idx="5">
                  <c:v>0.23734674262905922</c:v>
                </c:pt>
                <c:pt idx="6">
                  <c:v>0.23734674262905922</c:v>
                </c:pt>
                <c:pt idx="7">
                  <c:v>0.23734674262905922</c:v>
                </c:pt>
                <c:pt idx="8">
                  <c:v>0.23734674262905922</c:v>
                </c:pt>
                <c:pt idx="9">
                  <c:v>0.23734674262905922</c:v>
                </c:pt>
                <c:pt idx="10">
                  <c:v>0.23734674262905922</c:v>
                </c:pt>
                <c:pt idx="11">
                  <c:v>0.23734674262905922</c:v>
                </c:pt>
                <c:pt idx="12">
                  <c:v>0.23734674262905922</c:v>
                </c:pt>
                <c:pt idx="13">
                  <c:v>0.23734674262905922</c:v>
                </c:pt>
                <c:pt idx="14">
                  <c:v>0.23734674262905922</c:v>
                </c:pt>
                <c:pt idx="15">
                  <c:v>0.23734674262905922</c:v>
                </c:pt>
                <c:pt idx="16">
                  <c:v>0.23734674262905922</c:v>
                </c:pt>
                <c:pt idx="17">
                  <c:v>0.23734674262905922</c:v>
                </c:pt>
                <c:pt idx="18">
                  <c:v>0.23734674262905922</c:v>
                </c:pt>
                <c:pt idx="19">
                  <c:v>0.23734674262905922</c:v>
                </c:pt>
                <c:pt idx="20">
                  <c:v>0.23734674262905922</c:v>
                </c:pt>
              </c:numCache>
            </c:numRef>
          </c:val>
          <c:smooth val="0"/>
          <c:extLst>
            <c:ext xmlns:c16="http://schemas.microsoft.com/office/drawing/2014/chart" uri="{C3380CC4-5D6E-409C-BE32-E72D297353CC}">
              <c16:uniqueId val="{00000007-B1DA-4EF8-A5A7-25564F398734}"/>
            </c:ext>
          </c:extLst>
        </c:ser>
        <c:ser>
          <c:idx val="8"/>
          <c:order val="8"/>
          <c:tx>
            <c:strRef>
              <c:f>'I mR chart'!$AI$1</c:f>
              <c:strCache>
                <c:ptCount val="1"/>
                <c:pt idx="0">
                  <c:v>test1</c:v>
                </c:pt>
              </c:strCache>
            </c:strRef>
          </c:tx>
          <c:spPr>
            <a:ln>
              <a:noFill/>
            </a:ln>
          </c:spPr>
          <c:marker>
            <c:symbol val="circle"/>
            <c:size val="7"/>
            <c:spPr>
              <a:solidFill>
                <a:srgbClr val="FF0000"/>
              </a:solidFill>
            </c:spPr>
          </c:marker>
          <c:val>
            <c:numRef>
              <c:f>'I mR chart'!$AI$2:$AI$22</c:f>
              <c:numCache>
                <c:formatCode>General</c:formatCode>
                <c:ptCount val="2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numCache>
            </c:numRef>
          </c:val>
          <c:smooth val="0"/>
          <c:extLst>
            <c:ext xmlns:c16="http://schemas.microsoft.com/office/drawing/2014/chart" uri="{C3380CC4-5D6E-409C-BE32-E72D297353CC}">
              <c16:uniqueId val="{00000008-B1DA-4EF8-A5A7-25564F398734}"/>
            </c:ext>
          </c:extLst>
        </c:ser>
        <c:ser>
          <c:idx val="9"/>
          <c:order val="9"/>
          <c:tx>
            <c:strRef>
              <c:f>'I mR chart'!$AJ$1</c:f>
              <c:strCache>
                <c:ptCount val="1"/>
                <c:pt idx="0">
                  <c:v>test2</c:v>
                </c:pt>
              </c:strCache>
            </c:strRef>
          </c:tx>
          <c:spPr>
            <a:ln>
              <a:noFill/>
            </a:ln>
          </c:spPr>
          <c:marker>
            <c:symbol val="diamond"/>
            <c:size val="7"/>
            <c:spPr>
              <a:solidFill>
                <a:srgbClr val="FF0000"/>
              </a:solidFill>
              <a:ln>
                <a:solidFill>
                  <a:schemeClr val="tx1"/>
                </a:solidFill>
              </a:ln>
            </c:spPr>
          </c:marker>
          <c:val>
            <c:numRef>
              <c:f>'I mR chart'!$AJ$2:$AJ$22</c:f>
              <c:numCache>
                <c:formatCode>General</c:formatCode>
                <c:ptCount val="21"/>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numCache>
            </c:numRef>
          </c:val>
          <c:smooth val="0"/>
          <c:extLst>
            <c:ext xmlns:c16="http://schemas.microsoft.com/office/drawing/2014/chart" uri="{C3380CC4-5D6E-409C-BE32-E72D297353CC}">
              <c16:uniqueId val="{00000009-B1DA-4EF8-A5A7-25564F398734}"/>
            </c:ext>
          </c:extLst>
        </c:ser>
        <c:ser>
          <c:idx val="10"/>
          <c:order val="10"/>
          <c:tx>
            <c:strRef>
              <c:f>'I mR chart'!$AK$1</c:f>
              <c:strCache>
                <c:ptCount val="1"/>
                <c:pt idx="0">
                  <c:v>test 3</c:v>
                </c:pt>
              </c:strCache>
            </c:strRef>
          </c:tx>
          <c:spPr>
            <a:ln>
              <a:noFill/>
            </a:ln>
          </c:spPr>
          <c:marker>
            <c:symbol val="square"/>
            <c:size val="7"/>
            <c:spPr>
              <a:solidFill>
                <a:srgbClr val="FF0000"/>
              </a:solidFill>
              <a:ln>
                <a:solidFill>
                  <a:schemeClr val="accent3">
                    <a:lumMod val="75000"/>
                  </a:schemeClr>
                </a:solidFill>
              </a:ln>
            </c:spPr>
          </c:marker>
          <c:val>
            <c:numRef>
              <c:f>'I mR chart'!$AK$2:$AK$22</c:f>
              <c:numCache>
                <c:formatCode>General</c:formatCode>
                <c:ptCount val="21"/>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numCache>
            </c:numRef>
          </c:val>
          <c:smooth val="0"/>
          <c:extLst>
            <c:ext xmlns:c16="http://schemas.microsoft.com/office/drawing/2014/chart" uri="{C3380CC4-5D6E-409C-BE32-E72D297353CC}">
              <c16:uniqueId val="{0000000A-B1DA-4EF8-A5A7-25564F398734}"/>
            </c:ext>
          </c:extLst>
        </c:ser>
        <c:dLbls>
          <c:showLegendKey val="0"/>
          <c:showVal val="0"/>
          <c:showCatName val="0"/>
          <c:showSerName val="0"/>
          <c:showPercent val="0"/>
          <c:showBubbleSize val="0"/>
        </c:dLbls>
        <c:marker val="1"/>
        <c:smooth val="0"/>
        <c:axId val="667868680"/>
        <c:axId val="667869072"/>
      </c:lineChart>
      <c:catAx>
        <c:axId val="667868680"/>
        <c:scaling>
          <c:orientation val="minMax"/>
        </c:scaling>
        <c:delete val="0"/>
        <c:axPos val="b"/>
        <c:majorTickMark val="out"/>
        <c:minorTickMark val="none"/>
        <c:tickLblPos val="nextTo"/>
        <c:crossAx val="667869072"/>
        <c:crosses val="autoZero"/>
        <c:auto val="1"/>
        <c:lblAlgn val="ctr"/>
        <c:lblOffset val="100"/>
        <c:noMultiLvlLbl val="0"/>
      </c:catAx>
      <c:valAx>
        <c:axId val="667869072"/>
        <c:scaling>
          <c:orientation val="minMax"/>
          <c:min val="0"/>
        </c:scaling>
        <c:delete val="0"/>
        <c:axPos val="l"/>
        <c:title>
          <c:tx>
            <c:strRef>
              <c:f>'I mR chart'!$B$1</c:f>
              <c:strCache>
                <c:ptCount val="1"/>
                <c:pt idx="0">
                  <c:v>Measurements</c:v>
                </c:pt>
              </c:strCache>
            </c:strRef>
          </c:tx>
          <c:overlay val="0"/>
          <c:txPr>
            <a:bodyPr rot="-5400000" vert="horz"/>
            <a:lstStyle/>
            <a:p>
              <a:pPr>
                <a:defRPr/>
              </a:pPr>
              <a:endParaRPr lang="en-US"/>
            </a:p>
          </c:txPr>
        </c:title>
        <c:numFmt formatCode="General" sourceLinked="1"/>
        <c:majorTickMark val="out"/>
        <c:minorTickMark val="none"/>
        <c:tickLblPos val="nextTo"/>
        <c:crossAx val="667868680"/>
        <c:crosses val="autoZero"/>
        <c:crossBetween val="between"/>
      </c:valAx>
    </c:plotArea>
    <c:plotVisOnly val="1"/>
    <c:dispBlanksAs val="gap"/>
    <c:showDLblsOverMax val="0"/>
  </c:chart>
  <c:spPr>
    <a:ln>
      <a:noFill/>
    </a:ln>
  </c:sp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mR</a:t>
            </a:r>
          </a:p>
        </c:rich>
      </c:tx>
      <c:overlay val="1"/>
    </c:title>
    <c:autoTitleDeleted val="0"/>
    <c:plotArea>
      <c:layout>
        <c:manualLayout>
          <c:layoutTarget val="inner"/>
          <c:xMode val="edge"/>
          <c:yMode val="edge"/>
          <c:x val="5.2485911448955161E-2"/>
          <c:y val="0.14399314668999708"/>
          <c:w val="0.92936784014482743"/>
          <c:h val="0.74002697579469234"/>
        </c:manualLayout>
      </c:layout>
      <c:lineChart>
        <c:grouping val="standard"/>
        <c:varyColors val="0"/>
        <c:ser>
          <c:idx val="0"/>
          <c:order val="0"/>
          <c:tx>
            <c:strRef>
              <c:f>'I mR chart'!$AM$1</c:f>
              <c:strCache>
                <c:ptCount val="1"/>
                <c:pt idx="0">
                  <c:v>moving range (mR)</c:v>
                </c:pt>
              </c:strCache>
            </c:strRef>
          </c:tx>
          <c:spPr>
            <a:ln w="19050">
              <a:solidFill>
                <a:schemeClr val="accent1"/>
              </a:solidFill>
            </a:ln>
          </c:spPr>
          <c:marker>
            <c:symbol val="circle"/>
            <c:size val="5"/>
            <c:spPr>
              <a:solidFill>
                <a:schemeClr val="accent1"/>
              </a:solidFill>
              <a:ln>
                <a:solidFill>
                  <a:schemeClr val="accent1"/>
                </a:solidFill>
              </a:ln>
            </c:spPr>
          </c:marker>
          <c:val>
            <c:numRef>
              <c:f>'I mR chart'!$AM$2:$AM$22</c:f>
              <c:numCache>
                <c:formatCode>General</c:formatCode>
                <c:ptCount val="21"/>
                <c:pt idx="1">
                  <c:v>6.0000000000000012E-2</c:v>
                </c:pt>
                <c:pt idx="2">
                  <c:v>9.999999999999995E-3</c:v>
                </c:pt>
                <c:pt idx="3">
                  <c:v>1.999999999999999E-2</c:v>
                </c:pt>
                <c:pt idx="4">
                  <c:v>0.03</c:v>
                </c:pt>
                <c:pt idx="5">
                  <c:v>0.03</c:v>
                </c:pt>
                <c:pt idx="6">
                  <c:v>2.0000000000000004E-2</c:v>
                </c:pt>
                <c:pt idx="7">
                  <c:v>2.0000000000000004E-2</c:v>
                </c:pt>
                <c:pt idx="8">
                  <c:v>0.03</c:v>
                </c:pt>
                <c:pt idx="9">
                  <c:v>0.05</c:v>
                </c:pt>
                <c:pt idx="10">
                  <c:v>0</c:v>
                </c:pt>
                <c:pt idx="11">
                  <c:v>0</c:v>
                </c:pt>
                <c:pt idx="12">
                  <c:v>2.0000000000000004E-2</c:v>
                </c:pt>
                <c:pt idx="13">
                  <c:v>1.0000000000000009E-2</c:v>
                </c:pt>
                <c:pt idx="14">
                  <c:v>9.999999999999995E-3</c:v>
                </c:pt>
                <c:pt idx="15">
                  <c:v>2.0000000000000004E-2</c:v>
                </c:pt>
                <c:pt idx="16">
                  <c:v>4.0000000000000008E-2</c:v>
                </c:pt>
                <c:pt idx="17">
                  <c:v>9.999999999999995E-3</c:v>
                </c:pt>
                <c:pt idx="18">
                  <c:v>6.9999999999999993E-2</c:v>
                </c:pt>
                <c:pt idx="19">
                  <c:v>1.0000000000000009E-2</c:v>
                </c:pt>
                <c:pt idx="20">
                  <c:v>0.05</c:v>
                </c:pt>
              </c:numCache>
            </c:numRef>
          </c:val>
          <c:smooth val="0"/>
          <c:extLst>
            <c:ext xmlns:c16="http://schemas.microsoft.com/office/drawing/2014/chart" uri="{C3380CC4-5D6E-409C-BE32-E72D297353CC}">
              <c16:uniqueId val="{00000000-2B4A-4162-9D5B-A5AFBEFFF982}"/>
            </c:ext>
          </c:extLst>
        </c:ser>
        <c:ser>
          <c:idx val="1"/>
          <c:order val="1"/>
          <c:tx>
            <c:strRef>
              <c:f>'I mR chart'!$AN$1</c:f>
              <c:strCache>
                <c:ptCount val="1"/>
                <c:pt idx="0">
                  <c:v>LCL</c:v>
                </c:pt>
              </c:strCache>
            </c:strRef>
          </c:tx>
          <c:spPr>
            <a:ln w="19050">
              <a:solidFill>
                <a:schemeClr val="bg1">
                  <a:lumMod val="75000"/>
                </a:schemeClr>
              </a:solidFill>
              <a:prstDash val="dash"/>
            </a:ln>
          </c:spPr>
          <c:marker>
            <c:symbol val="none"/>
          </c:marker>
          <c:val>
            <c:numRef>
              <c:f>'I mR chart'!$AN$2:$AN$22</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-7.4496328100798551E-2</c:v>
                </c:pt>
              </c:numCache>
            </c:numRef>
          </c:val>
          <c:smooth val="0"/>
          <c:extLst>
            <c:ext xmlns:c16="http://schemas.microsoft.com/office/drawing/2014/chart" uri="{C3380CC4-5D6E-409C-BE32-E72D297353CC}">
              <c16:uniqueId val="{00000001-2B4A-4162-9D5B-A5AFBEFFF982}"/>
            </c:ext>
          </c:extLst>
        </c:ser>
        <c:ser>
          <c:idx val="2"/>
          <c:order val="2"/>
          <c:tx>
            <c:strRef>
              <c:f>'I mR chart'!$AO$1</c:f>
              <c:strCache>
                <c:ptCount val="1"/>
                <c:pt idx="0">
                  <c:v>-2 sigma</c:v>
                </c:pt>
              </c:strCache>
            </c:strRef>
          </c:tx>
          <c:spPr>
            <a:ln w="19050">
              <a:solidFill>
                <a:schemeClr val="bg1">
                  <a:lumMod val="85000"/>
                </a:schemeClr>
              </a:solidFill>
              <a:prstDash val="sysDash"/>
            </a:ln>
          </c:spPr>
          <c:marker>
            <c:symbol val="none"/>
          </c:marker>
          <c:val>
            <c:numRef>
              <c:f>'I mR chart'!$AO$2:$AO$22</c:f>
              <c:numCache>
                <c:formatCode>General</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val>
          <c:smooth val="0"/>
          <c:extLst>
            <c:ext xmlns:c16="http://schemas.microsoft.com/office/drawing/2014/chart" uri="{C3380CC4-5D6E-409C-BE32-E72D297353CC}">
              <c16:uniqueId val="{00000002-2B4A-4162-9D5B-A5AFBEFFF982}"/>
            </c:ext>
          </c:extLst>
        </c:ser>
        <c:ser>
          <c:idx val="3"/>
          <c:order val="3"/>
          <c:tx>
            <c:strRef>
              <c:f>'I mR chart'!$AP$1</c:f>
              <c:strCache>
                <c:ptCount val="1"/>
                <c:pt idx="0">
                  <c:v>-1 sigma</c:v>
                </c:pt>
              </c:strCache>
            </c:strRef>
          </c:tx>
          <c:spPr>
            <a:ln w="19050">
              <a:solidFill>
                <a:schemeClr val="bg1">
                  <a:lumMod val="85000"/>
                </a:schemeClr>
              </a:solidFill>
              <a:prstDash val="sysDash"/>
            </a:ln>
          </c:spPr>
          <c:marker>
            <c:symbol val="none"/>
          </c:marker>
          <c:val>
            <c:numRef>
              <c:f>'I mR chart'!$AP$2:$AP$22</c:f>
              <c:numCache>
                <c:formatCode>General</c:formatCode>
                <c:ptCount val="21"/>
                <c:pt idx="0">
                  <c:v>0</c:v>
                </c:pt>
                <c:pt idx="1">
                  <c:v>8.2567816091954037E-3</c:v>
                </c:pt>
                <c:pt idx="2">
                  <c:v>8.2567816091954037E-3</c:v>
                </c:pt>
                <c:pt idx="3">
                  <c:v>8.2567816091954037E-3</c:v>
                </c:pt>
                <c:pt idx="4">
                  <c:v>8.2567816091954037E-3</c:v>
                </c:pt>
                <c:pt idx="5">
                  <c:v>8.2567816091954037E-3</c:v>
                </c:pt>
                <c:pt idx="6">
                  <c:v>8.2567816091954037E-3</c:v>
                </c:pt>
                <c:pt idx="7">
                  <c:v>8.2567816091954037E-3</c:v>
                </c:pt>
                <c:pt idx="8">
                  <c:v>8.2567816091954037E-3</c:v>
                </c:pt>
                <c:pt idx="9">
                  <c:v>8.2567816091954037E-3</c:v>
                </c:pt>
                <c:pt idx="10">
                  <c:v>8.2567816091954037E-3</c:v>
                </c:pt>
                <c:pt idx="11">
                  <c:v>8.2567816091954037E-3</c:v>
                </c:pt>
                <c:pt idx="12">
                  <c:v>8.2567816091954037E-3</c:v>
                </c:pt>
                <c:pt idx="13">
                  <c:v>8.2567816091954037E-3</c:v>
                </c:pt>
                <c:pt idx="14">
                  <c:v>8.2567816091954037E-3</c:v>
                </c:pt>
                <c:pt idx="15">
                  <c:v>8.2567816091954037E-3</c:v>
                </c:pt>
                <c:pt idx="16">
                  <c:v>8.2567816091954037E-3</c:v>
                </c:pt>
                <c:pt idx="17">
                  <c:v>8.2567816091954037E-3</c:v>
                </c:pt>
                <c:pt idx="18">
                  <c:v>8.2567816091954037E-3</c:v>
                </c:pt>
                <c:pt idx="19">
                  <c:v>8.2567816091954037E-3</c:v>
                </c:pt>
                <c:pt idx="20">
                  <c:v>8.2567816091954037E-3</c:v>
                </c:pt>
              </c:numCache>
            </c:numRef>
          </c:val>
          <c:smooth val="0"/>
          <c:extLst>
            <c:ext xmlns:c16="http://schemas.microsoft.com/office/drawing/2014/chart" uri="{C3380CC4-5D6E-409C-BE32-E72D297353CC}">
              <c16:uniqueId val="{00000003-2B4A-4162-9D5B-A5AFBEFFF982}"/>
            </c:ext>
          </c:extLst>
        </c:ser>
        <c:ser>
          <c:idx val="4"/>
          <c:order val="4"/>
          <c:tx>
            <c:strRef>
              <c:f>'I mR chart'!$AQ$1</c:f>
              <c:strCache>
                <c:ptCount val="1"/>
                <c:pt idx="0">
                  <c:v>Mean
(mR)</c:v>
                </c:pt>
              </c:strCache>
            </c:strRef>
          </c:tx>
          <c:spPr>
            <a:ln w="19050">
              <a:solidFill>
                <a:srgbClr val="00B050"/>
              </a:solidFill>
            </a:ln>
          </c:spPr>
          <c:marker>
            <c:symbol val="none"/>
          </c:marker>
          <c:val>
            <c:numRef>
              <c:f>'I mR chart'!$AQ$2:$AQ$22</c:f>
              <c:numCache>
                <c:formatCode>General</c:formatCode>
                <c:ptCount val="21"/>
                <c:pt idx="0">
                  <c:v>3.3793103448275866E-2</c:v>
                </c:pt>
                <c:pt idx="1">
                  <c:v>3.3793103448275866E-2</c:v>
                </c:pt>
                <c:pt idx="2">
                  <c:v>3.3793103448275866E-2</c:v>
                </c:pt>
                <c:pt idx="3">
                  <c:v>3.3793103448275866E-2</c:v>
                </c:pt>
                <c:pt idx="4">
                  <c:v>3.3793103448275866E-2</c:v>
                </c:pt>
                <c:pt idx="5">
                  <c:v>3.3793103448275866E-2</c:v>
                </c:pt>
                <c:pt idx="6">
                  <c:v>3.3793103448275866E-2</c:v>
                </c:pt>
                <c:pt idx="7">
                  <c:v>3.3793103448275866E-2</c:v>
                </c:pt>
                <c:pt idx="8">
                  <c:v>3.3793103448275866E-2</c:v>
                </c:pt>
                <c:pt idx="9">
                  <c:v>3.3793103448275866E-2</c:v>
                </c:pt>
                <c:pt idx="10">
                  <c:v>3.3793103448275866E-2</c:v>
                </c:pt>
                <c:pt idx="11">
                  <c:v>3.3793103448275866E-2</c:v>
                </c:pt>
                <c:pt idx="12">
                  <c:v>3.3793103448275866E-2</c:v>
                </c:pt>
                <c:pt idx="13">
                  <c:v>3.3793103448275866E-2</c:v>
                </c:pt>
                <c:pt idx="14">
                  <c:v>3.3793103448275866E-2</c:v>
                </c:pt>
                <c:pt idx="15">
                  <c:v>3.3793103448275866E-2</c:v>
                </c:pt>
                <c:pt idx="16">
                  <c:v>3.3793103448275866E-2</c:v>
                </c:pt>
                <c:pt idx="17">
                  <c:v>3.3793103448275866E-2</c:v>
                </c:pt>
                <c:pt idx="18">
                  <c:v>3.3793103448275866E-2</c:v>
                </c:pt>
                <c:pt idx="19">
                  <c:v>3.3793103448275866E-2</c:v>
                </c:pt>
                <c:pt idx="20">
                  <c:v>3.3793103448275866E-2</c:v>
                </c:pt>
              </c:numCache>
            </c:numRef>
          </c:val>
          <c:smooth val="0"/>
          <c:extLst>
            <c:ext xmlns:c16="http://schemas.microsoft.com/office/drawing/2014/chart" uri="{C3380CC4-5D6E-409C-BE32-E72D297353CC}">
              <c16:uniqueId val="{00000004-2B4A-4162-9D5B-A5AFBEFFF982}"/>
            </c:ext>
          </c:extLst>
        </c:ser>
        <c:ser>
          <c:idx val="5"/>
          <c:order val="5"/>
          <c:tx>
            <c:strRef>
              <c:f>'I mR chart'!$AR$1</c:f>
              <c:strCache>
                <c:ptCount val="1"/>
                <c:pt idx="0">
                  <c:v>+1 sigma</c:v>
                </c:pt>
              </c:strCache>
            </c:strRef>
          </c:tx>
          <c:spPr>
            <a:ln w="19050">
              <a:solidFill>
                <a:schemeClr val="bg1">
                  <a:lumMod val="85000"/>
                </a:schemeClr>
              </a:solidFill>
              <a:prstDash val="sysDash"/>
            </a:ln>
          </c:spPr>
          <c:marker>
            <c:symbol val="none"/>
          </c:marker>
          <c:val>
            <c:numRef>
              <c:f>'I mR chart'!$AR$2:$AR$22</c:f>
              <c:numCache>
                <c:formatCode>General</c:formatCode>
                <c:ptCount val="21"/>
                <c:pt idx="0">
                  <c:v>5.9329425287356324E-2</c:v>
                </c:pt>
                <c:pt idx="1">
                  <c:v>5.9329425287356324E-2</c:v>
                </c:pt>
                <c:pt idx="2">
                  <c:v>5.9329425287356324E-2</c:v>
                </c:pt>
                <c:pt idx="3">
                  <c:v>5.9329425287356324E-2</c:v>
                </c:pt>
                <c:pt idx="4">
                  <c:v>5.9329425287356324E-2</c:v>
                </c:pt>
                <c:pt idx="5">
                  <c:v>5.9329425287356324E-2</c:v>
                </c:pt>
                <c:pt idx="6">
                  <c:v>5.9329425287356324E-2</c:v>
                </c:pt>
                <c:pt idx="7">
                  <c:v>5.9329425287356324E-2</c:v>
                </c:pt>
                <c:pt idx="8">
                  <c:v>5.9329425287356324E-2</c:v>
                </c:pt>
                <c:pt idx="9">
                  <c:v>5.9329425287356324E-2</c:v>
                </c:pt>
                <c:pt idx="10">
                  <c:v>5.9329425287356324E-2</c:v>
                </c:pt>
                <c:pt idx="11">
                  <c:v>5.9329425287356324E-2</c:v>
                </c:pt>
                <c:pt idx="12">
                  <c:v>5.9329425287356324E-2</c:v>
                </c:pt>
                <c:pt idx="13">
                  <c:v>5.9329425287356324E-2</c:v>
                </c:pt>
                <c:pt idx="14">
                  <c:v>5.9329425287356324E-2</c:v>
                </c:pt>
                <c:pt idx="15">
                  <c:v>5.9329425287356324E-2</c:v>
                </c:pt>
                <c:pt idx="16">
                  <c:v>5.9329425287356324E-2</c:v>
                </c:pt>
                <c:pt idx="17">
                  <c:v>5.9329425287356324E-2</c:v>
                </c:pt>
                <c:pt idx="18">
                  <c:v>5.9329425287356324E-2</c:v>
                </c:pt>
                <c:pt idx="19">
                  <c:v>5.9329425287356324E-2</c:v>
                </c:pt>
                <c:pt idx="20">
                  <c:v>5.9329425287356324E-2</c:v>
                </c:pt>
              </c:numCache>
            </c:numRef>
          </c:val>
          <c:smooth val="0"/>
          <c:extLst>
            <c:ext xmlns:c16="http://schemas.microsoft.com/office/drawing/2014/chart" uri="{C3380CC4-5D6E-409C-BE32-E72D297353CC}">
              <c16:uniqueId val="{00000005-2B4A-4162-9D5B-A5AFBEFFF982}"/>
            </c:ext>
          </c:extLst>
        </c:ser>
        <c:ser>
          <c:idx val="6"/>
          <c:order val="6"/>
          <c:tx>
            <c:strRef>
              <c:f>'I mR chart'!$AS$1</c:f>
              <c:strCache>
                <c:ptCount val="1"/>
                <c:pt idx="0">
                  <c:v>+2 sigma</c:v>
                </c:pt>
              </c:strCache>
            </c:strRef>
          </c:tx>
          <c:spPr>
            <a:ln w="19050">
              <a:solidFill>
                <a:schemeClr val="bg1">
                  <a:lumMod val="85000"/>
                </a:schemeClr>
              </a:solidFill>
              <a:prstDash val="sysDash"/>
            </a:ln>
          </c:spPr>
          <c:marker>
            <c:symbol val="none"/>
          </c:marker>
          <c:val>
            <c:numRef>
              <c:f>'I mR chart'!$AS$2:$AS$22</c:f>
              <c:numCache>
                <c:formatCode>General</c:formatCode>
                <c:ptCount val="21"/>
                <c:pt idx="0">
                  <c:v>8.4865747126436797E-2</c:v>
                </c:pt>
                <c:pt idx="1">
                  <c:v>8.4865747126436797E-2</c:v>
                </c:pt>
                <c:pt idx="2">
                  <c:v>8.4865747126436797E-2</c:v>
                </c:pt>
                <c:pt idx="3">
                  <c:v>8.4865747126436797E-2</c:v>
                </c:pt>
                <c:pt idx="4">
                  <c:v>8.4865747126436797E-2</c:v>
                </c:pt>
                <c:pt idx="5">
                  <c:v>8.4865747126436797E-2</c:v>
                </c:pt>
                <c:pt idx="6">
                  <c:v>8.4865747126436797E-2</c:v>
                </c:pt>
                <c:pt idx="7">
                  <c:v>8.4865747126436797E-2</c:v>
                </c:pt>
                <c:pt idx="8">
                  <c:v>8.4865747126436797E-2</c:v>
                </c:pt>
                <c:pt idx="9">
                  <c:v>8.4865747126436797E-2</c:v>
                </c:pt>
                <c:pt idx="10">
                  <c:v>8.4865747126436797E-2</c:v>
                </c:pt>
                <c:pt idx="11">
                  <c:v>8.4865747126436797E-2</c:v>
                </c:pt>
                <c:pt idx="12">
                  <c:v>8.4865747126436797E-2</c:v>
                </c:pt>
                <c:pt idx="13">
                  <c:v>8.4865747126436797E-2</c:v>
                </c:pt>
                <c:pt idx="14">
                  <c:v>8.4865747126436797E-2</c:v>
                </c:pt>
                <c:pt idx="15">
                  <c:v>8.4865747126436797E-2</c:v>
                </c:pt>
                <c:pt idx="16">
                  <c:v>8.4865747126436797E-2</c:v>
                </c:pt>
                <c:pt idx="17">
                  <c:v>8.4865747126436797E-2</c:v>
                </c:pt>
                <c:pt idx="18">
                  <c:v>8.4865747126436797E-2</c:v>
                </c:pt>
                <c:pt idx="19">
                  <c:v>8.4865747126436797E-2</c:v>
                </c:pt>
                <c:pt idx="20">
                  <c:v>8.4865747126436797E-2</c:v>
                </c:pt>
              </c:numCache>
            </c:numRef>
          </c:val>
          <c:smooth val="0"/>
          <c:extLst>
            <c:ext xmlns:c16="http://schemas.microsoft.com/office/drawing/2014/chart" uri="{C3380CC4-5D6E-409C-BE32-E72D297353CC}">
              <c16:uniqueId val="{00000006-2B4A-4162-9D5B-A5AFBEFFF982}"/>
            </c:ext>
          </c:extLst>
        </c:ser>
        <c:ser>
          <c:idx val="7"/>
          <c:order val="7"/>
          <c:tx>
            <c:strRef>
              <c:f>'I mR chart'!$AT$1</c:f>
              <c:strCache>
                <c:ptCount val="1"/>
                <c:pt idx="0">
                  <c:v>UCL</c:v>
                </c:pt>
              </c:strCache>
            </c:strRef>
          </c:tx>
          <c:spPr>
            <a:ln w="19050">
              <a:solidFill>
                <a:srgbClr val="FF0000"/>
              </a:solidFill>
              <a:prstDash val="dash"/>
            </a:ln>
          </c:spPr>
          <c:marker>
            <c:symbol val="none"/>
          </c:marker>
          <c:val>
            <c:numRef>
              <c:f>'I mR chart'!$AT$2:$AT$22</c:f>
              <c:numCache>
                <c:formatCode>General</c:formatCode>
                <c:ptCount val="21"/>
                <c:pt idx="0">
                  <c:v>0.11040206896551726</c:v>
                </c:pt>
                <c:pt idx="1">
                  <c:v>0.11040206896551726</c:v>
                </c:pt>
                <c:pt idx="2">
                  <c:v>0.11040206896551726</c:v>
                </c:pt>
                <c:pt idx="3">
                  <c:v>0.11040206896551726</c:v>
                </c:pt>
                <c:pt idx="4">
                  <c:v>0.11040206896551726</c:v>
                </c:pt>
                <c:pt idx="5">
                  <c:v>0.11040206896551726</c:v>
                </c:pt>
                <c:pt idx="6">
                  <c:v>0.11040206896551726</c:v>
                </c:pt>
                <c:pt idx="7">
                  <c:v>0.11040206896551726</c:v>
                </c:pt>
                <c:pt idx="8">
                  <c:v>0.11040206896551726</c:v>
                </c:pt>
                <c:pt idx="9">
                  <c:v>0.11040206896551726</c:v>
                </c:pt>
                <c:pt idx="10">
                  <c:v>0.11040206896551726</c:v>
                </c:pt>
                <c:pt idx="11">
                  <c:v>0.11040206896551726</c:v>
                </c:pt>
                <c:pt idx="12">
                  <c:v>0.11040206896551726</c:v>
                </c:pt>
                <c:pt idx="13">
                  <c:v>0.11040206896551726</c:v>
                </c:pt>
                <c:pt idx="14">
                  <c:v>0.11040206896551726</c:v>
                </c:pt>
                <c:pt idx="15">
                  <c:v>0.11040206896551726</c:v>
                </c:pt>
                <c:pt idx="16">
                  <c:v>0.11040206896551726</c:v>
                </c:pt>
                <c:pt idx="17">
                  <c:v>0.11040206896551726</c:v>
                </c:pt>
                <c:pt idx="18">
                  <c:v>0.11040206896551726</c:v>
                </c:pt>
                <c:pt idx="19">
                  <c:v>0.11040206896551726</c:v>
                </c:pt>
                <c:pt idx="20">
                  <c:v>0.11040206896551726</c:v>
                </c:pt>
              </c:numCache>
            </c:numRef>
          </c:val>
          <c:smooth val="0"/>
          <c:extLst>
            <c:ext xmlns:c16="http://schemas.microsoft.com/office/drawing/2014/chart" uri="{C3380CC4-5D6E-409C-BE32-E72D297353CC}">
              <c16:uniqueId val="{00000007-2B4A-4162-9D5B-A5AFBEFFF982}"/>
            </c:ext>
          </c:extLst>
        </c:ser>
        <c:ser>
          <c:idx val="8"/>
          <c:order val="8"/>
          <c:tx>
            <c:strRef>
              <c:f>'I mR chart'!$AU$1</c:f>
              <c:strCache>
                <c:ptCount val="1"/>
                <c:pt idx="0">
                  <c:v>test1</c:v>
                </c:pt>
              </c:strCache>
            </c:strRef>
          </c:tx>
          <c:spPr>
            <a:ln>
              <a:noFill/>
            </a:ln>
          </c:spPr>
          <c:marker>
            <c:symbol val="circle"/>
            <c:size val="7"/>
            <c:spPr>
              <a:solidFill>
                <a:srgbClr val="FF0000"/>
              </a:solidFill>
              <a:ln>
                <a:solidFill>
                  <a:schemeClr val="tx1"/>
                </a:solidFill>
              </a:ln>
            </c:spPr>
          </c:marker>
          <c:val>
            <c:numRef>
              <c:f>'I mR chart'!$AU$2:$AU$22</c:f>
              <c:numCache>
                <c:formatCode>General</c:formatCode>
                <c:ptCount val="2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numCache>
            </c:numRef>
          </c:val>
          <c:smooth val="0"/>
          <c:extLst>
            <c:ext xmlns:c16="http://schemas.microsoft.com/office/drawing/2014/chart" uri="{C3380CC4-5D6E-409C-BE32-E72D297353CC}">
              <c16:uniqueId val="{00000008-2B4A-4162-9D5B-A5AFBEFFF982}"/>
            </c:ext>
          </c:extLst>
        </c:ser>
        <c:ser>
          <c:idx val="9"/>
          <c:order val="9"/>
          <c:tx>
            <c:strRef>
              <c:f>'I mR chart'!$AV$1</c:f>
              <c:strCache>
                <c:ptCount val="1"/>
                <c:pt idx="0">
                  <c:v>test2</c:v>
                </c:pt>
              </c:strCache>
            </c:strRef>
          </c:tx>
          <c:spPr>
            <a:ln>
              <a:noFill/>
            </a:ln>
          </c:spPr>
          <c:marker>
            <c:symbol val="diamond"/>
            <c:size val="7"/>
            <c:spPr>
              <a:solidFill>
                <a:srgbClr val="FF0000"/>
              </a:solidFill>
              <a:ln>
                <a:solidFill>
                  <a:schemeClr val="tx1"/>
                </a:solidFill>
              </a:ln>
            </c:spPr>
          </c:marker>
          <c:val>
            <c:numRef>
              <c:f>'I mR chart'!$AV$2:$AV$22</c:f>
              <c:numCache>
                <c:formatCode>General</c:formatCode>
                <c:ptCount val="21"/>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numCache>
            </c:numRef>
          </c:val>
          <c:smooth val="0"/>
          <c:extLst>
            <c:ext xmlns:c16="http://schemas.microsoft.com/office/drawing/2014/chart" uri="{C3380CC4-5D6E-409C-BE32-E72D297353CC}">
              <c16:uniqueId val="{00000009-2B4A-4162-9D5B-A5AFBEFFF982}"/>
            </c:ext>
          </c:extLst>
        </c:ser>
        <c:ser>
          <c:idx val="10"/>
          <c:order val="10"/>
          <c:tx>
            <c:strRef>
              <c:f>'I mR chart'!$AW$1</c:f>
              <c:strCache>
                <c:ptCount val="1"/>
                <c:pt idx="0">
                  <c:v>test 3</c:v>
                </c:pt>
              </c:strCache>
            </c:strRef>
          </c:tx>
          <c:spPr>
            <a:ln>
              <a:noFill/>
            </a:ln>
          </c:spPr>
          <c:marker>
            <c:symbol val="square"/>
            <c:size val="7"/>
            <c:spPr>
              <a:solidFill>
                <a:srgbClr val="FF0000"/>
              </a:solidFill>
              <a:ln>
                <a:solidFill>
                  <a:schemeClr val="tx1"/>
                </a:solidFill>
              </a:ln>
            </c:spPr>
          </c:marker>
          <c:val>
            <c:numRef>
              <c:f>'I mR chart'!$AW$2:$AW$22</c:f>
              <c:numCache>
                <c:formatCode>General</c:formatCode>
                <c:ptCount val="21"/>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numCache>
            </c:numRef>
          </c:val>
          <c:smooth val="0"/>
          <c:extLst>
            <c:ext xmlns:c16="http://schemas.microsoft.com/office/drawing/2014/chart" uri="{C3380CC4-5D6E-409C-BE32-E72D297353CC}">
              <c16:uniqueId val="{0000000A-2B4A-4162-9D5B-A5AFBEFFF982}"/>
            </c:ext>
          </c:extLst>
        </c:ser>
        <c:dLbls>
          <c:showLegendKey val="0"/>
          <c:showVal val="0"/>
          <c:showCatName val="0"/>
          <c:showSerName val="0"/>
          <c:showPercent val="0"/>
          <c:showBubbleSize val="0"/>
        </c:dLbls>
        <c:marker val="1"/>
        <c:smooth val="0"/>
        <c:axId val="667871032"/>
        <c:axId val="667879264"/>
      </c:lineChart>
      <c:catAx>
        <c:axId val="667871032"/>
        <c:scaling>
          <c:orientation val="minMax"/>
        </c:scaling>
        <c:delete val="0"/>
        <c:axPos val="b"/>
        <c:majorTickMark val="out"/>
        <c:minorTickMark val="none"/>
        <c:tickLblPos val="nextTo"/>
        <c:crossAx val="667879264"/>
        <c:crosses val="autoZero"/>
        <c:auto val="1"/>
        <c:lblAlgn val="ctr"/>
        <c:lblOffset val="100"/>
        <c:noMultiLvlLbl val="0"/>
      </c:catAx>
      <c:valAx>
        <c:axId val="667879264"/>
        <c:scaling>
          <c:orientation val="minMax"/>
          <c:min val="0"/>
        </c:scaling>
        <c:delete val="0"/>
        <c:axPos val="l"/>
        <c:title>
          <c:tx>
            <c:strRef>
              <c:f>'I mR chart'!$B$1</c:f>
              <c:strCache>
                <c:ptCount val="1"/>
                <c:pt idx="0">
                  <c:v>Measurements</c:v>
                </c:pt>
              </c:strCache>
            </c:strRef>
          </c:tx>
          <c:overlay val="0"/>
          <c:txPr>
            <a:bodyPr rot="-5400000" vert="horz"/>
            <a:lstStyle/>
            <a:p>
              <a:pPr>
                <a:defRPr/>
              </a:pPr>
              <a:endParaRPr lang="en-US"/>
            </a:p>
          </c:txPr>
        </c:title>
        <c:numFmt formatCode="General" sourceLinked="1"/>
        <c:majorTickMark val="out"/>
        <c:minorTickMark val="none"/>
        <c:tickLblPos val="nextTo"/>
        <c:crossAx val="667871032"/>
        <c:crosses val="autoZero"/>
        <c:crossBetween val="between"/>
      </c:valAx>
    </c:plotArea>
    <c:plotVisOnly val="1"/>
    <c:dispBlanksAs val="gap"/>
    <c:showDLblsOverMax val="0"/>
  </c:chart>
  <c:spPr>
    <a:ln>
      <a:noFill/>
    </a:ln>
  </c:sp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P Chart</a:t>
            </a:r>
          </a:p>
        </c:rich>
      </c:tx>
      <c:overlay val="1"/>
    </c:title>
    <c:autoTitleDeleted val="0"/>
    <c:plotArea>
      <c:layout>
        <c:manualLayout>
          <c:layoutTarget val="inner"/>
          <c:xMode val="edge"/>
          <c:yMode val="edge"/>
          <c:x val="0.10158573928258981"/>
          <c:y val="0.17640055409740474"/>
          <c:w val="0.8892335958005243"/>
          <c:h val="0.65182852143482128"/>
        </c:manualLayout>
      </c:layout>
      <c:lineChart>
        <c:grouping val="standard"/>
        <c:varyColors val="0"/>
        <c:ser>
          <c:idx val="0"/>
          <c:order val="0"/>
          <c:tx>
            <c:strRef>
              <c:f>'P chart'!$A$1</c:f>
              <c:strCache>
                <c:ptCount val="1"/>
                <c:pt idx="0">
                  <c:v>Obs. ID (in chronological order)</c:v>
                </c:pt>
              </c:strCache>
            </c:strRef>
          </c:tx>
          <c:spPr>
            <a:ln w="19050">
              <a:solidFill>
                <a:schemeClr val="tx2">
                  <a:lumMod val="40000"/>
                  <a:lumOff val="60000"/>
                </a:schemeClr>
              </a:solidFill>
            </a:ln>
          </c:spPr>
          <c:marker>
            <c:symbol val="none"/>
          </c:marker>
          <c:val>
            <c:numRef>
              <c:f>'P chart'!$A$2:$A$21</c:f>
              <c:numCache>
                <c:formatCode>General</c:formatCode>
                <c:ptCount val="2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numCache>
            </c:numRef>
          </c:val>
          <c:smooth val="0"/>
          <c:extLst>
            <c:ext xmlns:c16="http://schemas.microsoft.com/office/drawing/2014/chart" uri="{C3380CC4-5D6E-409C-BE32-E72D297353CC}">
              <c16:uniqueId val="{00000000-3482-4F27-9C9E-BA067037E687}"/>
            </c:ext>
          </c:extLst>
        </c:ser>
        <c:ser>
          <c:idx val="1"/>
          <c:order val="1"/>
          <c:tx>
            <c:strRef>
              <c:f>'P chart'!$AA$2</c:f>
              <c:strCache>
                <c:ptCount val="1"/>
                <c:pt idx="0">
                  <c:v> proportion </c:v>
                </c:pt>
              </c:strCache>
            </c:strRef>
          </c:tx>
          <c:spPr>
            <a:ln w="19050">
              <a:solidFill>
                <a:schemeClr val="accent1"/>
              </a:solidFill>
              <a:prstDash val="solid"/>
            </a:ln>
          </c:spPr>
          <c:marker>
            <c:symbol val="circle"/>
            <c:size val="5"/>
            <c:spPr>
              <a:solidFill>
                <a:schemeClr val="accent1"/>
              </a:solidFill>
              <a:ln w="19050">
                <a:solidFill>
                  <a:schemeClr val="accent1"/>
                </a:solidFill>
              </a:ln>
            </c:spPr>
          </c:marker>
          <c:val>
            <c:numRef>
              <c:f>'P chart'!$AA$3:$AA$22</c:f>
              <c:numCache>
                <c:formatCode>_-* #,##0.000_-;\-* #,##0.000_-;_-* "-"??_-;_-@_-</c:formatCode>
                <c:ptCount val="2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1-3482-4F27-9C9E-BA067037E687}"/>
            </c:ext>
          </c:extLst>
        </c:ser>
        <c:ser>
          <c:idx val="2"/>
          <c:order val="2"/>
          <c:tx>
            <c:strRef>
              <c:f>'P chart'!$AB$2</c:f>
              <c:strCache>
                <c:ptCount val="1"/>
                <c:pt idx="0">
                  <c:v>LCL</c:v>
                </c:pt>
              </c:strCache>
            </c:strRef>
          </c:tx>
          <c:spPr>
            <a:ln w="19050">
              <a:solidFill>
                <a:srgbClr val="FF0000"/>
              </a:solidFill>
            </a:ln>
          </c:spPr>
          <c:marker>
            <c:symbol val="none"/>
          </c:marker>
          <c:val>
            <c:numRef>
              <c:f>'P chart'!$AB$3:$AB$22</c:f>
              <c:numCache>
                <c:formatCode>General</c:formatCode>
                <c:ptCount val="2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2-3482-4F27-9C9E-BA067037E687}"/>
            </c:ext>
          </c:extLst>
        </c:ser>
        <c:ser>
          <c:idx val="3"/>
          <c:order val="3"/>
          <c:tx>
            <c:strRef>
              <c:f>'P chart'!$AC$2</c:f>
              <c:strCache>
                <c:ptCount val="1"/>
                <c:pt idx="0">
                  <c:v>pbar</c:v>
                </c:pt>
              </c:strCache>
            </c:strRef>
          </c:tx>
          <c:spPr>
            <a:ln w="19050">
              <a:solidFill>
                <a:srgbClr val="00B050"/>
              </a:solidFill>
              <a:prstDash val="solid"/>
            </a:ln>
          </c:spPr>
          <c:marker>
            <c:symbol val="none"/>
          </c:marker>
          <c:val>
            <c:numRef>
              <c:f>'P chart'!$AC$3:$AC$22</c:f>
              <c:numCache>
                <c:formatCode>General</c:formatCode>
                <c:ptCount val="2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3-3482-4F27-9C9E-BA067037E687}"/>
            </c:ext>
          </c:extLst>
        </c:ser>
        <c:ser>
          <c:idx val="4"/>
          <c:order val="4"/>
          <c:tx>
            <c:strRef>
              <c:f>'P chart'!$AD$2</c:f>
              <c:strCache>
                <c:ptCount val="1"/>
                <c:pt idx="0">
                  <c:v>UCL</c:v>
                </c:pt>
              </c:strCache>
            </c:strRef>
          </c:tx>
          <c:spPr>
            <a:ln>
              <a:solidFill>
                <a:srgbClr val="FF0000"/>
              </a:solidFill>
              <a:prstDash val="dash"/>
            </a:ln>
          </c:spPr>
          <c:marker>
            <c:symbol val="none"/>
          </c:marker>
          <c:val>
            <c:numRef>
              <c:f>'P chart'!$AD$3:$AD$22</c:f>
              <c:numCache>
                <c:formatCode>General</c:formatCode>
                <c:ptCount val="2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4-3482-4F27-9C9E-BA067037E687}"/>
            </c:ext>
          </c:extLst>
        </c:ser>
        <c:ser>
          <c:idx val="5"/>
          <c:order val="5"/>
          <c:tx>
            <c:strRef>
              <c:f>'P chart'!$AE$2</c:f>
              <c:strCache>
                <c:ptCount val="1"/>
                <c:pt idx="0">
                  <c:v>Process out of control</c:v>
                </c:pt>
              </c:strCache>
            </c:strRef>
          </c:tx>
          <c:marker>
            <c:symbol val="none"/>
          </c:marker>
          <c:val>
            <c:numRef>
              <c:f>'P chart'!$AE$3:$AE$22</c:f>
              <c:numCache>
                <c:formatCode>General</c:formatCode>
                <c:ptCount val="2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3-BC83-4FEF-B2D1-B11948D38DC7}"/>
            </c:ext>
          </c:extLst>
        </c:ser>
        <c:dLbls>
          <c:showLegendKey val="0"/>
          <c:showVal val="0"/>
          <c:showCatName val="0"/>
          <c:showSerName val="0"/>
          <c:showPercent val="0"/>
          <c:showBubbleSize val="0"/>
        </c:dLbls>
        <c:smooth val="0"/>
        <c:axId val="780692480"/>
        <c:axId val="780691304"/>
      </c:lineChart>
      <c:catAx>
        <c:axId val="780692480"/>
        <c:scaling>
          <c:orientation val="minMax"/>
        </c:scaling>
        <c:delete val="0"/>
        <c:axPos val="b"/>
        <c:numFmt formatCode="General" sourceLinked="1"/>
        <c:majorTickMark val="out"/>
        <c:minorTickMark val="none"/>
        <c:tickLblPos val="nextTo"/>
        <c:crossAx val="780691304"/>
        <c:crosses val="autoZero"/>
        <c:auto val="1"/>
        <c:lblAlgn val="ctr"/>
        <c:lblOffset val="100"/>
        <c:noMultiLvlLbl val="0"/>
      </c:catAx>
      <c:valAx>
        <c:axId val="780691304"/>
        <c:scaling>
          <c:orientation val="minMax"/>
          <c:max val="0.5"/>
          <c:min val="0"/>
        </c:scaling>
        <c:delete val="0"/>
        <c:axPos val="l"/>
        <c:title>
          <c:tx>
            <c:strRef>
              <c:f>'P chart'!$AA$2</c:f>
              <c:strCache>
                <c:ptCount val="1"/>
                <c:pt idx="0">
                  <c:v> proportion </c:v>
                </c:pt>
              </c:strCache>
            </c:strRef>
          </c:tx>
          <c:overlay val="0"/>
          <c:txPr>
            <a:bodyPr rot="-5400000" vert="horz"/>
            <a:lstStyle/>
            <a:p>
              <a:pPr>
                <a:defRPr/>
              </a:pPr>
              <a:endParaRPr lang="en-US"/>
            </a:p>
          </c:txPr>
        </c:title>
        <c:numFmt formatCode="General" sourceLinked="1"/>
        <c:majorTickMark val="out"/>
        <c:minorTickMark val="none"/>
        <c:tickLblPos val="nextTo"/>
        <c:crossAx val="780692480"/>
        <c:crosses val="autoZero"/>
        <c:crossBetween val="between"/>
      </c:valAx>
    </c:plotArea>
    <c:legend>
      <c:legendPos val="r"/>
      <c:legendEntry>
        <c:idx val="0"/>
        <c:delete val="1"/>
      </c:legendEntry>
      <c:layout>
        <c:manualLayout>
          <c:xMode val="edge"/>
          <c:yMode val="edge"/>
          <c:x val="0.79173162117766915"/>
          <c:y val="1.6415843493078355E-2"/>
          <c:w val="0.18432907449465893"/>
          <c:h val="0.22003419876401514"/>
        </c:manualLayout>
      </c:layout>
      <c:overlay val="0"/>
      <c:txPr>
        <a:bodyPr/>
        <a:lstStyle/>
        <a:p>
          <a:pPr>
            <a:defRPr sz="700"/>
          </a:pPr>
          <a:endParaRPr lang="en-US"/>
        </a:p>
      </c:txPr>
    </c:legend>
    <c:plotVisOnly val="1"/>
    <c:dispBlanksAs val="gap"/>
    <c:showDLblsOverMax val="0"/>
  </c:chart>
  <c:spPr>
    <a:ln>
      <a:noFill/>
    </a:ln>
  </c:spPr>
  <c:txPr>
    <a:bodyPr/>
    <a:lstStyle/>
    <a:p>
      <a:pPr>
        <a:defRPr>
          <a:latin typeface="Quicksand" pitchFamily="2" charset="0"/>
        </a:defRPr>
      </a:pPr>
      <a:endParaRPr lang="en-US"/>
    </a:p>
  </c:txPr>
  <c:printSettings>
    <c:headerFooter/>
    <c:pageMargins b="0.75000000000000056" l="0.70000000000000051" r="0.70000000000000051" t="0.75000000000000056" header="0.30000000000000027" footer="0.30000000000000027"/>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nP Chart</a:t>
            </a:r>
          </a:p>
        </c:rich>
      </c:tx>
      <c:overlay val="1"/>
    </c:title>
    <c:autoTitleDeleted val="0"/>
    <c:plotArea>
      <c:layout>
        <c:manualLayout>
          <c:layoutTarget val="inner"/>
          <c:xMode val="edge"/>
          <c:yMode val="edge"/>
          <c:x val="3.5771474511631991E-2"/>
          <c:y val="5.1400554097404488E-2"/>
          <c:w val="0.94415900715113343"/>
          <c:h val="0.8326195683872849"/>
        </c:manualLayout>
      </c:layout>
      <c:lineChart>
        <c:grouping val="standard"/>
        <c:varyColors val="0"/>
        <c:ser>
          <c:idx val="1"/>
          <c:order val="0"/>
          <c:tx>
            <c:strRef>
              <c:f>'np chart'!$B$1</c:f>
              <c:strCache>
                <c:ptCount val="1"/>
                <c:pt idx="0">
                  <c:v>number of defects</c:v>
                </c:pt>
              </c:strCache>
            </c:strRef>
          </c:tx>
          <c:spPr>
            <a:ln w="19050">
              <a:solidFill>
                <a:schemeClr val="accent1"/>
              </a:solidFill>
            </a:ln>
          </c:spPr>
          <c:marker>
            <c:symbol val="circle"/>
            <c:size val="5"/>
            <c:spPr>
              <a:solidFill>
                <a:schemeClr val="accent1"/>
              </a:solidFill>
              <a:ln>
                <a:solidFill>
                  <a:schemeClr val="accent1"/>
                </a:solidFill>
              </a:ln>
            </c:spPr>
          </c:marker>
          <c:val>
            <c:numRef>
              <c:f>'np chart'!$B$2:$B$22</c:f>
              <c:numCache>
                <c:formatCode>General</c:formatCode>
                <c:ptCount val="21"/>
                <c:pt idx="0">
                  <c:v>5</c:v>
                </c:pt>
                <c:pt idx="1">
                  <c:v>6</c:v>
                </c:pt>
                <c:pt idx="2">
                  <c:v>5</c:v>
                </c:pt>
                <c:pt idx="3">
                  <c:v>4</c:v>
                </c:pt>
                <c:pt idx="4">
                  <c:v>6</c:v>
                </c:pt>
                <c:pt idx="5">
                  <c:v>6</c:v>
                </c:pt>
                <c:pt idx="6">
                  <c:v>4</c:v>
                </c:pt>
                <c:pt idx="7">
                  <c:v>4</c:v>
                </c:pt>
                <c:pt idx="8">
                  <c:v>2</c:v>
                </c:pt>
                <c:pt idx="9">
                  <c:v>5</c:v>
                </c:pt>
                <c:pt idx="10">
                  <c:v>4</c:v>
                </c:pt>
                <c:pt idx="11">
                  <c:v>6</c:v>
                </c:pt>
                <c:pt idx="12">
                  <c:v>5</c:v>
                </c:pt>
                <c:pt idx="13">
                  <c:v>5</c:v>
                </c:pt>
                <c:pt idx="14">
                  <c:v>5</c:v>
                </c:pt>
                <c:pt idx="15">
                  <c:v>4</c:v>
                </c:pt>
                <c:pt idx="16">
                  <c:v>5</c:v>
                </c:pt>
                <c:pt idx="17">
                  <c:v>3</c:v>
                </c:pt>
                <c:pt idx="18">
                  <c:v>5</c:v>
                </c:pt>
                <c:pt idx="19">
                  <c:v>5</c:v>
                </c:pt>
                <c:pt idx="20">
                  <c:v>4</c:v>
                </c:pt>
              </c:numCache>
            </c:numRef>
          </c:val>
          <c:smooth val="0"/>
          <c:extLst>
            <c:ext xmlns:c16="http://schemas.microsoft.com/office/drawing/2014/chart" uri="{C3380CC4-5D6E-409C-BE32-E72D297353CC}">
              <c16:uniqueId val="{00000000-315A-4A41-920B-FC73DF990EC5}"/>
            </c:ext>
          </c:extLst>
        </c:ser>
        <c:ser>
          <c:idx val="3"/>
          <c:order val="1"/>
          <c:tx>
            <c:strRef>
              <c:f>'np chart'!$S$1</c:f>
              <c:strCache>
                <c:ptCount val="1"/>
                <c:pt idx="0">
                  <c:v>LCL</c:v>
                </c:pt>
              </c:strCache>
            </c:strRef>
          </c:tx>
          <c:spPr>
            <a:ln w="19050">
              <a:solidFill>
                <a:srgbClr val="FF0000"/>
              </a:solidFill>
              <a:prstDash val="dash"/>
            </a:ln>
          </c:spPr>
          <c:marker>
            <c:symbol val="none"/>
          </c:marker>
          <c:val>
            <c:numRef>
              <c:f>'np chart'!$S$2:$S$22</c:f>
              <c:numCache>
                <c:formatCode>General</c:formatCode>
                <c:ptCount val="21"/>
                <c:pt idx="0">
                  <c:v>-1.3633067504249059</c:v>
                </c:pt>
                <c:pt idx="1">
                  <c:v>-1.3302024915484632</c:v>
                </c:pt>
                <c:pt idx="2">
                  <c:v>-1.3196449788470881</c:v>
                </c:pt>
                <c:pt idx="3">
                  <c:v>-1.3090384742754848</c:v>
                </c:pt>
                <c:pt idx="4">
                  <c:v>-1.3249298844612598</c:v>
                </c:pt>
                <c:pt idx="5">
                  <c:v>-1.3633067504249059</c:v>
                </c:pt>
                <c:pt idx="6">
                  <c:v>-1.3702117052997291</c:v>
                </c:pt>
                <c:pt idx="7">
                  <c:v>-1.3684875870048243</c:v>
                </c:pt>
                <c:pt idx="8">
                  <c:v>-1.390790027574444</c:v>
                </c:pt>
                <c:pt idx="9">
                  <c:v>-1.4094712480686038</c:v>
                </c:pt>
                <c:pt idx="10">
                  <c:v>-1.422946468190867</c:v>
                </c:pt>
                <c:pt idx="11">
                  <c:v>-1.4183471376268875</c:v>
                </c:pt>
                <c:pt idx="12">
                  <c:v>-1.4558509592799345</c:v>
                </c:pt>
                <c:pt idx="13">
                  <c:v>-1.4585430009514218</c:v>
                </c:pt>
                <c:pt idx="14">
                  <c:v>-1.4677188764089006</c:v>
                </c:pt>
                <c:pt idx="15">
                  <c:v>-1.4910331628861249</c:v>
                </c:pt>
                <c:pt idx="16">
                  <c:v>-1.4735579716098757</c:v>
                </c:pt>
                <c:pt idx="17">
                  <c:v>-1.5422261433787634</c:v>
                </c:pt>
                <c:pt idx="18">
                  <c:v>-1.5682474406255871</c:v>
                </c:pt>
                <c:pt idx="19">
                  <c:v>-1.5539861048056505</c:v>
                </c:pt>
                <c:pt idx="20">
                  <c:v>-1.524077630477759</c:v>
                </c:pt>
              </c:numCache>
            </c:numRef>
          </c:val>
          <c:smooth val="0"/>
          <c:extLst>
            <c:ext xmlns:c16="http://schemas.microsoft.com/office/drawing/2014/chart" uri="{C3380CC4-5D6E-409C-BE32-E72D297353CC}">
              <c16:uniqueId val="{00000001-315A-4A41-920B-FC73DF990EC5}"/>
            </c:ext>
          </c:extLst>
        </c:ser>
        <c:ser>
          <c:idx val="5"/>
          <c:order val="2"/>
          <c:tx>
            <c:strRef>
              <c:f>'np chart'!$U$1</c:f>
              <c:strCache>
                <c:ptCount val="1"/>
                <c:pt idx="0">
                  <c:v>UCL</c:v>
                </c:pt>
              </c:strCache>
            </c:strRef>
          </c:tx>
          <c:spPr>
            <a:ln w="19050">
              <a:solidFill>
                <a:srgbClr val="FF0000"/>
              </a:solidFill>
              <a:prstDash val="dash"/>
            </a:ln>
          </c:spPr>
          <c:marker>
            <c:symbol val="none"/>
          </c:marker>
          <c:val>
            <c:numRef>
              <c:f>'np chart'!$U$2:$U$22</c:f>
              <c:numCache>
                <c:formatCode>General</c:formatCode>
                <c:ptCount val="21"/>
                <c:pt idx="0">
                  <c:v>11.469556750424905</c:v>
                </c:pt>
                <c:pt idx="1">
                  <c:v>11.616413831754649</c:v>
                </c:pt>
                <c:pt idx="2">
                  <c:v>11.662686215960491</c:v>
                </c:pt>
                <c:pt idx="3">
                  <c:v>11.708909608296103</c:v>
                </c:pt>
                <c:pt idx="4">
                  <c:v>11.639556173121054</c:v>
                </c:pt>
                <c:pt idx="5">
                  <c:v>11.469556750424905</c:v>
                </c:pt>
                <c:pt idx="6">
                  <c:v>11.438575107361585</c:v>
                </c:pt>
                <c:pt idx="7">
                  <c:v>11.446322638551216</c:v>
                </c:pt>
                <c:pt idx="8">
                  <c:v>11.345493635821867</c:v>
                </c:pt>
                <c:pt idx="9">
                  <c:v>11.259986711986128</c:v>
                </c:pt>
                <c:pt idx="10">
                  <c:v>11.197688736232104</c:v>
                </c:pt>
                <c:pt idx="11">
                  <c:v>11.219011814783698</c:v>
                </c:pt>
                <c:pt idx="12">
                  <c:v>11.043265048627013</c:v>
                </c:pt>
                <c:pt idx="13">
                  <c:v>11.03048053885318</c:v>
                </c:pt>
                <c:pt idx="14">
                  <c:v>10.986726608367663</c:v>
                </c:pt>
                <c:pt idx="15">
                  <c:v>10.874280585566538</c:v>
                </c:pt>
                <c:pt idx="16">
                  <c:v>10.958738383981007</c:v>
                </c:pt>
                <c:pt idx="17">
                  <c:v>10.620437880095654</c:v>
                </c:pt>
                <c:pt idx="18">
                  <c:v>10.487384038563732</c:v>
                </c:pt>
                <c:pt idx="19">
                  <c:v>10.560663705555417</c:v>
                </c:pt>
                <c:pt idx="20">
                  <c:v>10.711577630477759</c:v>
                </c:pt>
              </c:numCache>
            </c:numRef>
          </c:val>
          <c:smooth val="0"/>
          <c:extLst>
            <c:ext xmlns:c16="http://schemas.microsoft.com/office/drawing/2014/chart" uri="{C3380CC4-5D6E-409C-BE32-E72D297353CC}">
              <c16:uniqueId val="{00000002-315A-4A41-920B-FC73DF990EC5}"/>
            </c:ext>
          </c:extLst>
        </c:ser>
        <c:ser>
          <c:idx val="6"/>
          <c:order val="3"/>
          <c:tx>
            <c:strRef>
              <c:f>'np chart'!$V$1</c:f>
              <c:strCache>
                <c:ptCount val="1"/>
                <c:pt idx="0">
                  <c:v>Mean</c:v>
                </c:pt>
              </c:strCache>
            </c:strRef>
          </c:tx>
          <c:spPr>
            <a:ln w="19050">
              <a:solidFill>
                <a:srgbClr val="00B050"/>
              </a:solidFill>
            </a:ln>
          </c:spPr>
          <c:marker>
            <c:symbol val="none"/>
          </c:marker>
          <c:val>
            <c:numRef>
              <c:f>'np chart'!$V$2:$V$22</c:f>
              <c:numCache>
                <c:formatCode>General</c:formatCode>
                <c:ptCount val="21"/>
                <c:pt idx="0">
                  <c:v>4.9000000000000004</c:v>
                </c:pt>
                <c:pt idx="1">
                  <c:v>4.9000000000000004</c:v>
                </c:pt>
                <c:pt idx="2">
                  <c:v>4.9000000000000004</c:v>
                </c:pt>
                <c:pt idx="3">
                  <c:v>4.9000000000000004</c:v>
                </c:pt>
                <c:pt idx="4">
                  <c:v>4.9000000000000004</c:v>
                </c:pt>
                <c:pt idx="5">
                  <c:v>4.9000000000000004</c:v>
                </c:pt>
                <c:pt idx="6">
                  <c:v>4.9000000000000004</c:v>
                </c:pt>
                <c:pt idx="7">
                  <c:v>4.9000000000000004</c:v>
                </c:pt>
                <c:pt idx="8">
                  <c:v>4.9000000000000004</c:v>
                </c:pt>
                <c:pt idx="9">
                  <c:v>4.9000000000000004</c:v>
                </c:pt>
                <c:pt idx="10">
                  <c:v>4.9000000000000004</c:v>
                </c:pt>
                <c:pt idx="11">
                  <c:v>4.9000000000000004</c:v>
                </c:pt>
                <c:pt idx="12">
                  <c:v>4.9000000000000004</c:v>
                </c:pt>
                <c:pt idx="13">
                  <c:v>4.9000000000000004</c:v>
                </c:pt>
                <c:pt idx="14">
                  <c:v>4.9000000000000004</c:v>
                </c:pt>
                <c:pt idx="15">
                  <c:v>4.9000000000000004</c:v>
                </c:pt>
                <c:pt idx="16">
                  <c:v>4.9000000000000004</c:v>
                </c:pt>
                <c:pt idx="17">
                  <c:v>4.9000000000000004</c:v>
                </c:pt>
                <c:pt idx="18">
                  <c:v>4.9000000000000004</c:v>
                </c:pt>
                <c:pt idx="19">
                  <c:v>4.9000000000000004</c:v>
                </c:pt>
                <c:pt idx="20">
                  <c:v>4.9000000000000004</c:v>
                </c:pt>
              </c:numCache>
            </c:numRef>
          </c:val>
          <c:smooth val="0"/>
          <c:extLst>
            <c:ext xmlns:c16="http://schemas.microsoft.com/office/drawing/2014/chart" uri="{C3380CC4-5D6E-409C-BE32-E72D297353CC}">
              <c16:uniqueId val="{00000003-315A-4A41-920B-FC73DF990EC5}"/>
            </c:ext>
          </c:extLst>
        </c:ser>
        <c:dLbls>
          <c:showLegendKey val="0"/>
          <c:showVal val="0"/>
          <c:showCatName val="0"/>
          <c:showSerName val="0"/>
          <c:showPercent val="0"/>
          <c:showBubbleSize val="0"/>
        </c:dLbls>
        <c:marker val="1"/>
        <c:smooth val="0"/>
        <c:axId val="780690912"/>
        <c:axId val="780690128"/>
      </c:lineChart>
      <c:catAx>
        <c:axId val="780690912"/>
        <c:scaling>
          <c:orientation val="minMax"/>
        </c:scaling>
        <c:delete val="0"/>
        <c:axPos val="b"/>
        <c:majorTickMark val="out"/>
        <c:minorTickMark val="none"/>
        <c:tickLblPos val="nextTo"/>
        <c:crossAx val="780690128"/>
        <c:crosses val="autoZero"/>
        <c:auto val="1"/>
        <c:lblAlgn val="ctr"/>
        <c:lblOffset val="100"/>
        <c:noMultiLvlLbl val="0"/>
      </c:catAx>
      <c:valAx>
        <c:axId val="780690128"/>
        <c:scaling>
          <c:orientation val="minMax"/>
          <c:min val="0"/>
        </c:scaling>
        <c:delete val="0"/>
        <c:axPos val="l"/>
        <c:numFmt formatCode="General" sourceLinked="1"/>
        <c:majorTickMark val="out"/>
        <c:minorTickMark val="none"/>
        <c:tickLblPos val="nextTo"/>
        <c:crossAx val="780690912"/>
        <c:crosses val="autoZero"/>
        <c:crossBetween val="between"/>
      </c:valAx>
      <c:spPr>
        <a:ln>
          <a:noFill/>
        </a:ln>
      </c:spPr>
    </c:plotArea>
    <c:legend>
      <c:legendPos val="r"/>
      <c:layout>
        <c:manualLayout>
          <c:xMode val="edge"/>
          <c:yMode val="edge"/>
          <c:x val="0.79696786805484399"/>
          <c:y val="0.14291417835016745"/>
          <c:w val="0.19788419657411427"/>
          <c:h val="0.18384473727585379"/>
        </c:manualLayout>
      </c:layout>
      <c:overlay val="0"/>
      <c:txPr>
        <a:bodyPr/>
        <a:lstStyle/>
        <a:p>
          <a:pPr>
            <a:defRPr sz="700"/>
          </a:pPr>
          <a:endParaRPr lang="en-US"/>
        </a:p>
      </c:txPr>
    </c:legend>
    <c:plotVisOnly val="1"/>
    <c:dispBlanksAs val="gap"/>
    <c:showDLblsOverMax val="0"/>
  </c:chart>
  <c:spPr>
    <a:ln>
      <a:noFill/>
    </a:ln>
  </c:spPr>
  <c:printSettings>
    <c:headerFooter/>
    <c:pageMargins b="0.75000000000000022" l="0.70000000000000018" r="0.70000000000000018" t="0.75000000000000022" header="0.3000000000000001" footer="0.3000000000000001"/>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U Chart</a:t>
            </a:r>
          </a:p>
        </c:rich>
      </c:tx>
      <c:overlay val="1"/>
    </c:title>
    <c:autoTitleDeleted val="0"/>
    <c:plotArea>
      <c:layout>
        <c:manualLayout>
          <c:layoutTarget val="inner"/>
          <c:xMode val="edge"/>
          <c:yMode val="edge"/>
          <c:x val="0.10158573928258995"/>
          <c:y val="0.17640055409740493"/>
          <c:w val="0.88923359580052386"/>
          <c:h val="0.65182852143482195"/>
        </c:manualLayout>
      </c:layout>
      <c:lineChart>
        <c:grouping val="standard"/>
        <c:varyColors val="0"/>
        <c:ser>
          <c:idx val="0"/>
          <c:order val="0"/>
          <c:tx>
            <c:strRef>
              <c:f>'U chart'!$Q$1</c:f>
              <c:strCache>
                <c:ptCount val="1"/>
                <c:pt idx="0">
                  <c:v> proportion </c:v>
                </c:pt>
              </c:strCache>
            </c:strRef>
          </c:tx>
          <c:spPr>
            <a:ln w="19050">
              <a:solidFill>
                <a:schemeClr val="accent1"/>
              </a:solidFill>
            </a:ln>
          </c:spPr>
          <c:marker>
            <c:symbol val="circle"/>
            <c:size val="5"/>
            <c:spPr>
              <a:solidFill>
                <a:schemeClr val="accent1"/>
              </a:solidFill>
              <a:ln>
                <a:solidFill>
                  <a:schemeClr val="accent1"/>
                </a:solidFill>
              </a:ln>
            </c:spPr>
          </c:marker>
          <c:cat>
            <c:numRef>
              <c:f>'U chart'!$A$2:$A$21</c:f>
              <c:numCache>
                <c:formatCode>General</c:formatCode>
                <c:ptCount val="2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numCache>
            </c:numRef>
          </c:cat>
          <c:val>
            <c:numRef>
              <c:f>'U chart'!$Q$2:$Q$21</c:f>
              <c:numCache>
                <c:formatCode>_-* #,##0.0000_-;\-* #,##0.0000_-;_-* "-"??_-;_-@_-</c:formatCode>
                <c:ptCount val="20"/>
                <c:pt idx="0">
                  <c:v>0.08</c:v>
                </c:pt>
                <c:pt idx="1">
                  <c:v>0.02</c:v>
                </c:pt>
                <c:pt idx="2">
                  <c:v>0.06</c:v>
                </c:pt>
                <c:pt idx="3">
                  <c:v>2.0833333333333332E-2</c:v>
                </c:pt>
                <c:pt idx="4">
                  <c:v>4.0816326530612242E-2</c:v>
                </c:pt>
                <c:pt idx="5">
                  <c:v>0.12</c:v>
                </c:pt>
                <c:pt idx="6">
                  <c:v>0.06</c:v>
                </c:pt>
                <c:pt idx="7">
                  <c:v>4.2553191489361701E-2</c:v>
                </c:pt>
                <c:pt idx="8">
                  <c:v>2.0408163265306121E-2</c:v>
                </c:pt>
                <c:pt idx="9">
                  <c:v>1.9607843137254902E-2</c:v>
                </c:pt>
                <c:pt idx="10">
                  <c:v>3.8461538461538464E-2</c:v>
                </c:pt>
                <c:pt idx="11">
                  <c:v>5.8823529411764705E-2</c:v>
                </c:pt>
                <c:pt idx="12">
                  <c:v>8.1632653061224483E-2</c:v>
                </c:pt>
                <c:pt idx="13">
                  <c:v>6.1224489795918366E-2</c:v>
                </c:pt>
                <c:pt idx="14">
                  <c:v>6.1224489795918366E-2</c:v>
                </c:pt>
                <c:pt idx="15">
                  <c:v>0.04</c:v>
                </c:pt>
                <c:pt idx="16">
                  <c:v>0.06</c:v>
                </c:pt>
                <c:pt idx="17">
                  <c:v>0.08</c:v>
                </c:pt>
                <c:pt idx="18">
                  <c:v>6.25E-2</c:v>
                </c:pt>
                <c:pt idx="19">
                  <c:v>4.0816326530612242E-2</c:v>
                </c:pt>
              </c:numCache>
            </c:numRef>
          </c:val>
          <c:smooth val="0"/>
          <c:extLst>
            <c:ext xmlns:c16="http://schemas.microsoft.com/office/drawing/2014/chart" uri="{C3380CC4-5D6E-409C-BE32-E72D297353CC}">
              <c16:uniqueId val="{00000000-D3DC-484B-B098-B02E6BD1A336}"/>
            </c:ext>
          </c:extLst>
        </c:ser>
        <c:ser>
          <c:idx val="1"/>
          <c:order val="1"/>
          <c:tx>
            <c:strRef>
              <c:f>'U chart'!$R$1</c:f>
              <c:strCache>
                <c:ptCount val="1"/>
                <c:pt idx="0">
                  <c:v>LCL</c:v>
                </c:pt>
              </c:strCache>
            </c:strRef>
          </c:tx>
          <c:spPr>
            <a:ln w="19050">
              <a:solidFill>
                <a:srgbClr val="FF0000"/>
              </a:solidFill>
              <a:prstDash val="dash"/>
            </a:ln>
          </c:spPr>
          <c:marker>
            <c:symbol val="none"/>
          </c:marker>
          <c:cat>
            <c:numRef>
              <c:f>'U chart'!$A$2:$A$21</c:f>
              <c:numCache>
                <c:formatCode>General</c:formatCode>
                <c:ptCount val="2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numCache>
            </c:numRef>
          </c:cat>
          <c:val>
            <c:numRef>
              <c:f>'U chart'!$R$2:$R$21</c:f>
              <c:numCache>
                <c:formatCode>General</c:formatCode>
                <c:ptCount val="20"/>
                <c:pt idx="0">
                  <c:v>-4.4637100694603804E-2</c:v>
                </c:pt>
                <c:pt idx="1">
                  <c:v>-4.4637100694603804E-2</c:v>
                </c:pt>
                <c:pt idx="2">
                  <c:v>-4.4637100694603804E-2</c:v>
                </c:pt>
                <c:pt idx="3">
                  <c:v>-4.6659626777501656E-2</c:v>
                </c:pt>
                <c:pt idx="4">
                  <c:v>-4.5632884548462496E-2</c:v>
                </c:pt>
                <c:pt idx="5">
                  <c:v>-4.4637100694603804E-2</c:v>
                </c:pt>
                <c:pt idx="6">
                  <c:v>-4.4637100694603804E-2</c:v>
                </c:pt>
                <c:pt idx="7">
                  <c:v>-4.7718965495267135E-2</c:v>
                </c:pt>
                <c:pt idx="8">
                  <c:v>-4.5632884548462496E-2</c:v>
                </c:pt>
                <c:pt idx="9">
                  <c:v>-4.3670750084250837E-2</c:v>
                </c:pt>
                <c:pt idx="10">
                  <c:v>-4.2732410742209848E-2</c:v>
                </c:pt>
                <c:pt idx="11">
                  <c:v>-4.3670750084250837E-2</c:v>
                </c:pt>
                <c:pt idx="12">
                  <c:v>-4.5632884548462496E-2</c:v>
                </c:pt>
                <c:pt idx="13">
                  <c:v>-4.5632884548462496E-2</c:v>
                </c:pt>
                <c:pt idx="14">
                  <c:v>-4.5632884548462496E-2</c:v>
                </c:pt>
                <c:pt idx="15">
                  <c:v>-4.4637100694603804E-2</c:v>
                </c:pt>
                <c:pt idx="16">
                  <c:v>-4.4637100694603804E-2</c:v>
                </c:pt>
                <c:pt idx="17">
                  <c:v>-4.4637100694603804E-2</c:v>
                </c:pt>
                <c:pt idx="18">
                  <c:v>-4.6659626777501656E-2</c:v>
                </c:pt>
                <c:pt idx="19">
                  <c:v>-4.5632884548462496E-2</c:v>
                </c:pt>
              </c:numCache>
            </c:numRef>
          </c:val>
          <c:smooth val="0"/>
          <c:extLst>
            <c:ext xmlns:c16="http://schemas.microsoft.com/office/drawing/2014/chart" uri="{C3380CC4-5D6E-409C-BE32-E72D297353CC}">
              <c16:uniqueId val="{00000001-D3DC-484B-B098-B02E6BD1A336}"/>
            </c:ext>
          </c:extLst>
        </c:ser>
        <c:ser>
          <c:idx val="2"/>
          <c:order val="2"/>
          <c:tx>
            <c:strRef>
              <c:f>'U chart'!$S$1</c:f>
              <c:strCache>
                <c:ptCount val="1"/>
                <c:pt idx="0">
                  <c:v>Mean</c:v>
                </c:pt>
              </c:strCache>
            </c:strRef>
          </c:tx>
          <c:spPr>
            <a:ln w="19050">
              <a:solidFill>
                <a:srgbClr val="00B050"/>
              </a:solidFill>
            </a:ln>
          </c:spPr>
          <c:marker>
            <c:symbol val="none"/>
          </c:marker>
          <c:cat>
            <c:numRef>
              <c:f>'U chart'!$A$2:$A$21</c:f>
              <c:numCache>
                <c:formatCode>General</c:formatCode>
                <c:ptCount val="2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numCache>
            </c:numRef>
          </c:cat>
          <c:val>
            <c:numRef>
              <c:f>'U chart'!$S$2:$S$21</c:f>
              <c:numCache>
                <c:formatCode>General</c:formatCode>
                <c:ptCount val="20"/>
                <c:pt idx="0">
                  <c:v>5.3445094240642255E-2</c:v>
                </c:pt>
                <c:pt idx="1">
                  <c:v>5.3445094240642255E-2</c:v>
                </c:pt>
                <c:pt idx="2">
                  <c:v>5.3445094240642255E-2</c:v>
                </c:pt>
                <c:pt idx="3">
                  <c:v>5.3445094240642255E-2</c:v>
                </c:pt>
                <c:pt idx="4">
                  <c:v>5.3445094240642255E-2</c:v>
                </c:pt>
                <c:pt idx="5">
                  <c:v>5.3445094240642255E-2</c:v>
                </c:pt>
                <c:pt idx="6">
                  <c:v>5.3445094240642255E-2</c:v>
                </c:pt>
                <c:pt idx="7">
                  <c:v>5.3445094240642255E-2</c:v>
                </c:pt>
                <c:pt idx="8">
                  <c:v>5.3445094240642255E-2</c:v>
                </c:pt>
                <c:pt idx="9">
                  <c:v>5.3445094240642255E-2</c:v>
                </c:pt>
                <c:pt idx="10">
                  <c:v>5.3445094240642255E-2</c:v>
                </c:pt>
                <c:pt idx="11">
                  <c:v>5.3445094240642255E-2</c:v>
                </c:pt>
                <c:pt idx="12">
                  <c:v>5.3445094240642255E-2</c:v>
                </c:pt>
                <c:pt idx="13">
                  <c:v>5.3445094240642255E-2</c:v>
                </c:pt>
                <c:pt idx="14">
                  <c:v>5.3445094240642255E-2</c:v>
                </c:pt>
                <c:pt idx="15">
                  <c:v>5.3445094240642255E-2</c:v>
                </c:pt>
                <c:pt idx="16">
                  <c:v>5.3445094240642255E-2</c:v>
                </c:pt>
                <c:pt idx="17">
                  <c:v>5.3445094240642255E-2</c:v>
                </c:pt>
                <c:pt idx="18">
                  <c:v>5.3445094240642255E-2</c:v>
                </c:pt>
                <c:pt idx="19">
                  <c:v>5.3445094240642255E-2</c:v>
                </c:pt>
              </c:numCache>
            </c:numRef>
          </c:val>
          <c:smooth val="0"/>
          <c:extLst>
            <c:ext xmlns:c16="http://schemas.microsoft.com/office/drawing/2014/chart" uri="{C3380CC4-5D6E-409C-BE32-E72D297353CC}">
              <c16:uniqueId val="{00000002-D3DC-484B-B098-B02E6BD1A336}"/>
            </c:ext>
          </c:extLst>
        </c:ser>
        <c:ser>
          <c:idx val="3"/>
          <c:order val="3"/>
          <c:tx>
            <c:strRef>
              <c:f>'U chart'!$T$1</c:f>
              <c:strCache>
                <c:ptCount val="1"/>
                <c:pt idx="0">
                  <c:v>UCL</c:v>
                </c:pt>
              </c:strCache>
            </c:strRef>
          </c:tx>
          <c:spPr>
            <a:ln w="19050">
              <a:solidFill>
                <a:srgbClr val="FF0000"/>
              </a:solidFill>
              <a:prstDash val="dash"/>
            </a:ln>
          </c:spPr>
          <c:marker>
            <c:symbol val="none"/>
          </c:marker>
          <c:cat>
            <c:numRef>
              <c:f>'U chart'!$A$2:$A$21</c:f>
              <c:numCache>
                <c:formatCode>General</c:formatCode>
                <c:ptCount val="2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numCache>
            </c:numRef>
          </c:cat>
          <c:val>
            <c:numRef>
              <c:f>'U chart'!$T$2:$T$21</c:f>
              <c:numCache>
                <c:formatCode>General</c:formatCode>
                <c:ptCount val="20"/>
                <c:pt idx="0">
                  <c:v>0.15152728917588831</c:v>
                </c:pt>
                <c:pt idx="1">
                  <c:v>0.15152728917588831</c:v>
                </c:pt>
                <c:pt idx="2">
                  <c:v>0.15152728917588831</c:v>
                </c:pt>
                <c:pt idx="3">
                  <c:v>0.15354981525878617</c:v>
                </c:pt>
                <c:pt idx="4">
                  <c:v>0.15252307302974699</c:v>
                </c:pt>
                <c:pt idx="5">
                  <c:v>0.15152728917588831</c:v>
                </c:pt>
                <c:pt idx="6">
                  <c:v>0.15152728917588831</c:v>
                </c:pt>
                <c:pt idx="7">
                  <c:v>0.15460915397655164</c:v>
                </c:pt>
                <c:pt idx="8">
                  <c:v>0.15252307302974699</c:v>
                </c:pt>
                <c:pt idx="9">
                  <c:v>0.15056093856553535</c:v>
                </c:pt>
                <c:pt idx="10">
                  <c:v>0.14962259922349436</c:v>
                </c:pt>
                <c:pt idx="11">
                  <c:v>0.15056093856553535</c:v>
                </c:pt>
                <c:pt idx="12">
                  <c:v>0.15252307302974699</c:v>
                </c:pt>
                <c:pt idx="13">
                  <c:v>0.15252307302974699</c:v>
                </c:pt>
                <c:pt idx="14">
                  <c:v>0.15252307302974699</c:v>
                </c:pt>
                <c:pt idx="15">
                  <c:v>0.15152728917588831</c:v>
                </c:pt>
                <c:pt idx="16">
                  <c:v>0.15152728917588831</c:v>
                </c:pt>
                <c:pt idx="17">
                  <c:v>0.15152728917588831</c:v>
                </c:pt>
                <c:pt idx="18">
                  <c:v>0.15354981525878617</c:v>
                </c:pt>
                <c:pt idx="19">
                  <c:v>0.15252307302974699</c:v>
                </c:pt>
              </c:numCache>
            </c:numRef>
          </c:val>
          <c:smooth val="0"/>
          <c:extLst>
            <c:ext xmlns:c16="http://schemas.microsoft.com/office/drawing/2014/chart" uri="{C3380CC4-5D6E-409C-BE32-E72D297353CC}">
              <c16:uniqueId val="{00000003-D3DC-484B-B098-B02E6BD1A336}"/>
            </c:ext>
          </c:extLst>
        </c:ser>
        <c:dLbls>
          <c:showLegendKey val="0"/>
          <c:showVal val="0"/>
          <c:showCatName val="0"/>
          <c:showSerName val="0"/>
          <c:showPercent val="0"/>
          <c:showBubbleSize val="0"/>
        </c:dLbls>
        <c:marker val="1"/>
        <c:smooth val="0"/>
        <c:axId val="667871424"/>
        <c:axId val="667869464"/>
      </c:lineChart>
      <c:catAx>
        <c:axId val="667871424"/>
        <c:scaling>
          <c:orientation val="minMax"/>
        </c:scaling>
        <c:delete val="0"/>
        <c:axPos val="b"/>
        <c:numFmt formatCode="General" sourceLinked="1"/>
        <c:majorTickMark val="out"/>
        <c:minorTickMark val="none"/>
        <c:tickLblPos val="nextTo"/>
        <c:crossAx val="667869464"/>
        <c:crosses val="autoZero"/>
        <c:auto val="1"/>
        <c:lblAlgn val="ctr"/>
        <c:lblOffset val="100"/>
        <c:noMultiLvlLbl val="0"/>
      </c:catAx>
      <c:valAx>
        <c:axId val="667869464"/>
        <c:scaling>
          <c:orientation val="minMax"/>
          <c:min val="0"/>
        </c:scaling>
        <c:delete val="0"/>
        <c:axPos val="l"/>
        <c:title>
          <c:tx>
            <c:strRef>
              <c:f>'U chart'!$Q$1</c:f>
              <c:strCache>
                <c:ptCount val="1"/>
                <c:pt idx="0">
                  <c:v> proportion </c:v>
                </c:pt>
              </c:strCache>
            </c:strRef>
          </c:tx>
          <c:overlay val="0"/>
          <c:txPr>
            <a:bodyPr rot="-5400000" vert="horz"/>
            <a:lstStyle/>
            <a:p>
              <a:pPr>
                <a:defRPr/>
              </a:pPr>
              <a:endParaRPr lang="en-US"/>
            </a:p>
          </c:txPr>
        </c:title>
        <c:numFmt formatCode="_-* #,##0.0000_-;\-* #,##0.0000_-;_-* &quot;-&quot;??_-;_-@_-" sourceLinked="1"/>
        <c:majorTickMark val="out"/>
        <c:minorTickMark val="none"/>
        <c:tickLblPos val="nextTo"/>
        <c:crossAx val="667871424"/>
        <c:crosses val="autoZero"/>
        <c:crossBetween val="between"/>
      </c:valAx>
    </c:plotArea>
    <c:legend>
      <c:legendPos val="r"/>
      <c:layout>
        <c:manualLayout>
          <c:xMode val="edge"/>
          <c:yMode val="edge"/>
          <c:x val="0.75776377952755902"/>
          <c:y val="8.4915427238262241E-3"/>
          <c:w val="0.23945844269466349"/>
          <c:h val="0.21449839603382964"/>
        </c:manualLayout>
      </c:layout>
      <c:overlay val="0"/>
      <c:txPr>
        <a:bodyPr/>
        <a:lstStyle/>
        <a:p>
          <a:pPr>
            <a:defRPr sz="800"/>
          </a:pPr>
          <a:endParaRPr lang="en-US"/>
        </a:p>
      </c:txPr>
    </c:legend>
    <c:plotVisOnly val="1"/>
    <c:dispBlanksAs val="gap"/>
    <c:showDLblsOverMax val="0"/>
  </c:chart>
  <c:spPr>
    <a:ln>
      <a:noFill/>
    </a:ln>
  </c:spPr>
  <c:printSettings>
    <c:headerFooter/>
    <c:pageMargins b="0.75000000000000111" l="0.70000000000000062" r="0.70000000000000062" t="0.75000000000000111" header="0.30000000000000032" footer="0.30000000000000032"/>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 Chart</a:t>
            </a:r>
          </a:p>
        </c:rich>
      </c:tx>
      <c:overlay val="1"/>
    </c:title>
    <c:autoTitleDeleted val="0"/>
    <c:plotArea>
      <c:layout>
        <c:manualLayout>
          <c:layoutTarget val="inner"/>
          <c:xMode val="edge"/>
          <c:yMode val="edge"/>
          <c:x val="0.10158573928258989"/>
          <c:y val="0.17640055409740482"/>
          <c:w val="0.88923359580052408"/>
          <c:h val="0.65182852143482173"/>
        </c:manualLayout>
      </c:layout>
      <c:lineChart>
        <c:grouping val="standard"/>
        <c:varyColors val="0"/>
        <c:ser>
          <c:idx val="0"/>
          <c:order val="0"/>
          <c:tx>
            <c:strRef>
              <c:f>'C chart'!$B$1</c:f>
              <c:strCache>
                <c:ptCount val="1"/>
                <c:pt idx="0">
                  <c:v>Defects</c:v>
                </c:pt>
              </c:strCache>
            </c:strRef>
          </c:tx>
          <c:spPr>
            <a:ln w="19050">
              <a:solidFill>
                <a:schemeClr val="accent1"/>
              </a:solidFill>
            </a:ln>
          </c:spPr>
          <c:marker>
            <c:symbol val="circle"/>
            <c:size val="5"/>
            <c:spPr>
              <a:solidFill>
                <a:schemeClr val="accent1"/>
              </a:solidFill>
              <a:ln>
                <a:solidFill>
                  <a:schemeClr val="accent1"/>
                </a:solidFill>
              </a:ln>
            </c:spPr>
          </c:marker>
          <c:cat>
            <c:numRef>
              <c:f>'C chart'!$A$2:$A$70</c:f>
              <c:numCache>
                <c:formatCode>General</c:formatCode>
                <c:ptCount val="69"/>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numCache>
            </c:numRef>
          </c:cat>
          <c:val>
            <c:numRef>
              <c:f>'C chart'!$B$2:$B$70</c:f>
              <c:numCache>
                <c:formatCode>General</c:formatCode>
                <c:ptCount val="69"/>
                <c:pt idx="0">
                  <c:v>4</c:v>
                </c:pt>
                <c:pt idx="1">
                  <c:v>1</c:v>
                </c:pt>
                <c:pt idx="2">
                  <c:v>3</c:v>
                </c:pt>
                <c:pt idx="3">
                  <c:v>1</c:v>
                </c:pt>
                <c:pt idx="4">
                  <c:v>2</c:v>
                </c:pt>
                <c:pt idx="5">
                  <c:v>6</c:v>
                </c:pt>
                <c:pt idx="6">
                  <c:v>3</c:v>
                </c:pt>
                <c:pt idx="7">
                  <c:v>2</c:v>
                </c:pt>
                <c:pt idx="8">
                  <c:v>1</c:v>
                </c:pt>
                <c:pt idx="9">
                  <c:v>1</c:v>
                </c:pt>
                <c:pt idx="10">
                  <c:v>2</c:v>
                </c:pt>
                <c:pt idx="11">
                  <c:v>3</c:v>
                </c:pt>
                <c:pt idx="12">
                  <c:v>4</c:v>
                </c:pt>
                <c:pt idx="13">
                  <c:v>3</c:v>
                </c:pt>
                <c:pt idx="14">
                  <c:v>3</c:v>
                </c:pt>
                <c:pt idx="15">
                  <c:v>2</c:v>
                </c:pt>
                <c:pt idx="16">
                  <c:v>3</c:v>
                </c:pt>
                <c:pt idx="17">
                  <c:v>4</c:v>
                </c:pt>
                <c:pt idx="18">
                  <c:v>3</c:v>
                </c:pt>
                <c:pt idx="19">
                  <c:v>2</c:v>
                </c:pt>
                <c:pt idx="20">
                  <c:v>4</c:v>
                </c:pt>
                <c:pt idx="21">
                  <c:v>6</c:v>
                </c:pt>
                <c:pt idx="22">
                  <c:v>4</c:v>
                </c:pt>
                <c:pt idx="23">
                  <c:v>3</c:v>
                </c:pt>
                <c:pt idx="24">
                  <c:v>2</c:v>
                </c:pt>
                <c:pt idx="25">
                  <c:v>3</c:v>
                </c:pt>
                <c:pt idx="26">
                  <c:v>4</c:v>
                </c:pt>
                <c:pt idx="27">
                  <c:v>2</c:v>
                </c:pt>
                <c:pt idx="28">
                  <c:v>3</c:v>
                </c:pt>
                <c:pt idx="29">
                  <c:v>4</c:v>
                </c:pt>
                <c:pt idx="30">
                  <c:v>2</c:v>
                </c:pt>
                <c:pt idx="31">
                  <c:v>3</c:v>
                </c:pt>
                <c:pt idx="32">
                  <c:v>3</c:v>
                </c:pt>
                <c:pt idx="33">
                  <c:v>2</c:v>
                </c:pt>
              </c:numCache>
            </c:numRef>
          </c:val>
          <c:smooth val="0"/>
          <c:extLst>
            <c:ext xmlns:c16="http://schemas.microsoft.com/office/drawing/2014/chart" uri="{C3380CC4-5D6E-409C-BE32-E72D297353CC}">
              <c16:uniqueId val="{00000000-CB9D-4D5B-98AA-2633DD2DD4C1}"/>
            </c:ext>
          </c:extLst>
        </c:ser>
        <c:ser>
          <c:idx val="1"/>
          <c:order val="1"/>
          <c:tx>
            <c:strRef>
              <c:f>'C chart'!$Q$1</c:f>
              <c:strCache>
                <c:ptCount val="1"/>
                <c:pt idx="0">
                  <c:v>LCL</c:v>
                </c:pt>
              </c:strCache>
            </c:strRef>
          </c:tx>
          <c:spPr>
            <a:ln w="19050">
              <a:solidFill>
                <a:srgbClr val="FF0000"/>
              </a:solidFill>
              <a:prstDash val="dash"/>
            </a:ln>
          </c:spPr>
          <c:marker>
            <c:symbol val="none"/>
          </c:marker>
          <c:cat>
            <c:numRef>
              <c:f>'C chart'!$A$2:$A$70</c:f>
              <c:numCache>
                <c:formatCode>General</c:formatCode>
                <c:ptCount val="69"/>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numCache>
            </c:numRef>
          </c:cat>
          <c:val>
            <c:numRef>
              <c:f>'C chart'!$Q$2:$Q$70</c:f>
              <c:numCache>
                <c:formatCode>General</c:formatCode>
                <c:ptCount val="69"/>
                <c:pt idx="0">
                  <c:v>-2.2336461788299116</c:v>
                </c:pt>
                <c:pt idx="1">
                  <c:v>-2.2336461788299116</c:v>
                </c:pt>
                <c:pt idx="2">
                  <c:v>-2.2336461788299116</c:v>
                </c:pt>
                <c:pt idx="3">
                  <c:v>-2.2336461788299116</c:v>
                </c:pt>
                <c:pt idx="4">
                  <c:v>-2.2336461788299116</c:v>
                </c:pt>
                <c:pt idx="5">
                  <c:v>-2.2336461788299116</c:v>
                </c:pt>
                <c:pt idx="6">
                  <c:v>-2.2336461788299116</c:v>
                </c:pt>
                <c:pt idx="7">
                  <c:v>-2.2336461788299116</c:v>
                </c:pt>
                <c:pt idx="8">
                  <c:v>-2.2336461788299116</c:v>
                </c:pt>
                <c:pt idx="9">
                  <c:v>-2.2336461788299116</c:v>
                </c:pt>
                <c:pt idx="10">
                  <c:v>-2.2336461788299116</c:v>
                </c:pt>
                <c:pt idx="11">
                  <c:v>-2.2336461788299116</c:v>
                </c:pt>
                <c:pt idx="12">
                  <c:v>-2.2336461788299116</c:v>
                </c:pt>
                <c:pt idx="13">
                  <c:v>-2.2336461788299116</c:v>
                </c:pt>
                <c:pt idx="14">
                  <c:v>-2.2336461788299116</c:v>
                </c:pt>
                <c:pt idx="15">
                  <c:v>-2.2336461788299116</c:v>
                </c:pt>
                <c:pt idx="16">
                  <c:v>-2.2336461788299116</c:v>
                </c:pt>
                <c:pt idx="17">
                  <c:v>-2.2336461788299116</c:v>
                </c:pt>
                <c:pt idx="18">
                  <c:v>-2.2336461788299116</c:v>
                </c:pt>
                <c:pt idx="19">
                  <c:v>-2.2336461788299116</c:v>
                </c:pt>
                <c:pt idx="20">
                  <c:v>-2.2336461788299116</c:v>
                </c:pt>
                <c:pt idx="21">
                  <c:v>-2.2336461788299116</c:v>
                </c:pt>
                <c:pt idx="22">
                  <c:v>-2.2336461788299116</c:v>
                </c:pt>
                <c:pt idx="23">
                  <c:v>-2.2336461788299116</c:v>
                </c:pt>
                <c:pt idx="24">
                  <c:v>-2.2336461788299116</c:v>
                </c:pt>
                <c:pt idx="25">
                  <c:v>-2.2336461788299116</c:v>
                </c:pt>
                <c:pt idx="26">
                  <c:v>-2.2336461788299116</c:v>
                </c:pt>
                <c:pt idx="27">
                  <c:v>-2.2336461788299116</c:v>
                </c:pt>
                <c:pt idx="28">
                  <c:v>-2.2336461788299116</c:v>
                </c:pt>
                <c:pt idx="29">
                  <c:v>-2.2336461788299116</c:v>
                </c:pt>
                <c:pt idx="30">
                  <c:v>-2.2336461788299116</c:v>
                </c:pt>
                <c:pt idx="31">
                  <c:v>-2.2336461788299116</c:v>
                </c:pt>
                <c:pt idx="32">
                  <c:v>-2.2336461788299116</c:v>
                </c:pt>
                <c:pt idx="33">
                  <c:v>-2.2336461788299116</c:v>
                </c:pt>
                <c:pt idx="34">
                  <c:v>-2.2336461788299116</c:v>
                </c:pt>
                <c:pt idx="35">
                  <c:v>-2.2336461788299116</c:v>
                </c:pt>
                <c:pt idx="36">
                  <c:v>-2.2336461788299116</c:v>
                </c:pt>
                <c:pt idx="37">
                  <c:v>-2.2336461788299116</c:v>
                </c:pt>
                <c:pt idx="38">
                  <c:v>-2.2336461788299116</c:v>
                </c:pt>
                <c:pt idx="39">
                  <c:v>-2.2336461788299116</c:v>
                </c:pt>
                <c:pt idx="40">
                  <c:v>-2.2336461788299116</c:v>
                </c:pt>
                <c:pt idx="41">
                  <c:v>-2.2336461788299116</c:v>
                </c:pt>
                <c:pt idx="42">
                  <c:v>-2.2336461788299116</c:v>
                </c:pt>
                <c:pt idx="43">
                  <c:v>-2.2336461788299116</c:v>
                </c:pt>
                <c:pt idx="44">
                  <c:v>-2.2336461788299116</c:v>
                </c:pt>
                <c:pt idx="45">
                  <c:v>-2.2336461788299116</c:v>
                </c:pt>
                <c:pt idx="46">
                  <c:v>-2.2336461788299116</c:v>
                </c:pt>
                <c:pt idx="47">
                  <c:v>-2.2336461788299116</c:v>
                </c:pt>
                <c:pt idx="48">
                  <c:v>-2.2336461788299116</c:v>
                </c:pt>
                <c:pt idx="49">
                  <c:v>-2.2336461788299116</c:v>
                </c:pt>
                <c:pt idx="50">
                  <c:v>-2.2336461788299116</c:v>
                </c:pt>
                <c:pt idx="51">
                  <c:v>-2.2336461788299116</c:v>
                </c:pt>
                <c:pt idx="52">
                  <c:v>-2.2336461788299116</c:v>
                </c:pt>
                <c:pt idx="53">
                  <c:v>-2.2336461788299116</c:v>
                </c:pt>
                <c:pt idx="54">
                  <c:v>-2.2336461788299116</c:v>
                </c:pt>
                <c:pt idx="55">
                  <c:v>-2.2336461788299116</c:v>
                </c:pt>
                <c:pt idx="56">
                  <c:v>-2.2336461788299116</c:v>
                </c:pt>
                <c:pt idx="57">
                  <c:v>-2.2336461788299116</c:v>
                </c:pt>
                <c:pt idx="58">
                  <c:v>-2.2336461788299116</c:v>
                </c:pt>
                <c:pt idx="59">
                  <c:v>-2.2336461788299116</c:v>
                </c:pt>
                <c:pt idx="60">
                  <c:v>-2.2336461788299116</c:v>
                </c:pt>
                <c:pt idx="61">
                  <c:v>-2.2336461788299116</c:v>
                </c:pt>
                <c:pt idx="62">
                  <c:v>-2.2336461788299116</c:v>
                </c:pt>
                <c:pt idx="63">
                  <c:v>-2.2336461788299116</c:v>
                </c:pt>
                <c:pt idx="64">
                  <c:v>-2.2336461788299116</c:v>
                </c:pt>
                <c:pt idx="65">
                  <c:v>-2.2336461788299116</c:v>
                </c:pt>
                <c:pt idx="66">
                  <c:v>-2.2336461788299116</c:v>
                </c:pt>
                <c:pt idx="67">
                  <c:v>-2.2336461788299116</c:v>
                </c:pt>
                <c:pt idx="68">
                  <c:v>-2.2336461788299116</c:v>
                </c:pt>
              </c:numCache>
            </c:numRef>
          </c:val>
          <c:smooth val="0"/>
          <c:extLst>
            <c:ext xmlns:c16="http://schemas.microsoft.com/office/drawing/2014/chart" uri="{C3380CC4-5D6E-409C-BE32-E72D297353CC}">
              <c16:uniqueId val="{00000001-CB9D-4D5B-98AA-2633DD2DD4C1}"/>
            </c:ext>
          </c:extLst>
        </c:ser>
        <c:ser>
          <c:idx val="2"/>
          <c:order val="2"/>
          <c:tx>
            <c:strRef>
              <c:f>'C chart'!$R$1</c:f>
              <c:strCache>
                <c:ptCount val="1"/>
                <c:pt idx="0">
                  <c:v>Mean</c:v>
                </c:pt>
              </c:strCache>
            </c:strRef>
          </c:tx>
          <c:spPr>
            <a:ln w="19050">
              <a:solidFill>
                <a:srgbClr val="00B050"/>
              </a:solidFill>
            </a:ln>
          </c:spPr>
          <c:marker>
            <c:symbol val="none"/>
          </c:marker>
          <c:cat>
            <c:numRef>
              <c:f>'C chart'!$A$2:$A$70</c:f>
              <c:numCache>
                <c:formatCode>General</c:formatCode>
                <c:ptCount val="69"/>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numCache>
            </c:numRef>
          </c:cat>
          <c:val>
            <c:numRef>
              <c:f>'C chart'!$R$2:$R$70</c:f>
              <c:numCache>
                <c:formatCode>General</c:formatCode>
                <c:ptCount val="69"/>
                <c:pt idx="0">
                  <c:v>2.65</c:v>
                </c:pt>
                <c:pt idx="1">
                  <c:v>2.65</c:v>
                </c:pt>
                <c:pt idx="2">
                  <c:v>2.65</c:v>
                </c:pt>
                <c:pt idx="3">
                  <c:v>2.65</c:v>
                </c:pt>
                <c:pt idx="4">
                  <c:v>2.65</c:v>
                </c:pt>
                <c:pt idx="5">
                  <c:v>2.65</c:v>
                </c:pt>
                <c:pt idx="6">
                  <c:v>2.65</c:v>
                </c:pt>
                <c:pt idx="7">
                  <c:v>2.65</c:v>
                </c:pt>
                <c:pt idx="8">
                  <c:v>2.65</c:v>
                </c:pt>
                <c:pt idx="9">
                  <c:v>2.65</c:v>
                </c:pt>
                <c:pt idx="10">
                  <c:v>2.65</c:v>
                </c:pt>
                <c:pt idx="11">
                  <c:v>2.65</c:v>
                </c:pt>
                <c:pt idx="12">
                  <c:v>2.65</c:v>
                </c:pt>
                <c:pt idx="13">
                  <c:v>2.65</c:v>
                </c:pt>
                <c:pt idx="14">
                  <c:v>2.65</c:v>
                </c:pt>
                <c:pt idx="15">
                  <c:v>2.65</c:v>
                </c:pt>
                <c:pt idx="16">
                  <c:v>2.65</c:v>
                </c:pt>
                <c:pt idx="17">
                  <c:v>2.65</c:v>
                </c:pt>
                <c:pt idx="18">
                  <c:v>2.65</c:v>
                </c:pt>
                <c:pt idx="19">
                  <c:v>2.65</c:v>
                </c:pt>
                <c:pt idx="20">
                  <c:v>2.65</c:v>
                </c:pt>
                <c:pt idx="21">
                  <c:v>2.65</c:v>
                </c:pt>
                <c:pt idx="22">
                  <c:v>2.65</c:v>
                </c:pt>
                <c:pt idx="23">
                  <c:v>2.65</c:v>
                </c:pt>
                <c:pt idx="24">
                  <c:v>2.65</c:v>
                </c:pt>
                <c:pt idx="25">
                  <c:v>2.65</c:v>
                </c:pt>
                <c:pt idx="26">
                  <c:v>2.65</c:v>
                </c:pt>
                <c:pt idx="27">
                  <c:v>2.65</c:v>
                </c:pt>
                <c:pt idx="28">
                  <c:v>2.65</c:v>
                </c:pt>
                <c:pt idx="29">
                  <c:v>2.65</c:v>
                </c:pt>
                <c:pt idx="30">
                  <c:v>2.65</c:v>
                </c:pt>
                <c:pt idx="31">
                  <c:v>2.65</c:v>
                </c:pt>
                <c:pt idx="32">
                  <c:v>2.65</c:v>
                </c:pt>
                <c:pt idx="33">
                  <c:v>2.65</c:v>
                </c:pt>
                <c:pt idx="34">
                  <c:v>2.65</c:v>
                </c:pt>
                <c:pt idx="35">
                  <c:v>2.65</c:v>
                </c:pt>
                <c:pt idx="36">
                  <c:v>2.65</c:v>
                </c:pt>
                <c:pt idx="37">
                  <c:v>2.65</c:v>
                </c:pt>
                <c:pt idx="38">
                  <c:v>2.65</c:v>
                </c:pt>
                <c:pt idx="39">
                  <c:v>2.65</c:v>
                </c:pt>
                <c:pt idx="40">
                  <c:v>2.65</c:v>
                </c:pt>
                <c:pt idx="41">
                  <c:v>2.65</c:v>
                </c:pt>
                <c:pt idx="42">
                  <c:v>2.65</c:v>
                </c:pt>
                <c:pt idx="43">
                  <c:v>2.65</c:v>
                </c:pt>
                <c:pt idx="44">
                  <c:v>2.65</c:v>
                </c:pt>
                <c:pt idx="45">
                  <c:v>2.65</c:v>
                </c:pt>
                <c:pt idx="46">
                  <c:v>2.65</c:v>
                </c:pt>
                <c:pt idx="47">
                  <c:v>2.65</c:v>
                </c:pt>
                <c:pt idx="48">
                  <c:v>2.65</c:v>
                </c:pt>
                <c:pt idx="49">
                  <c:v>2.65</c:v>
                </c:pt>
                <c:pt idx="50">
                  <c:v>2.65</c:v>
                </c:pt>
                <c:pt idx="51">
                  <c:v>2.65</c:v>
                </c:pt>
                <c:pt idx="52">
                  <c:v>2.65</c:v>
                </c:pt>
                <c:pt idx="53">
                  <c:v>2.65</c:v>
                </c:pt>
                <c:pt idx="54">
                  <c:v>2.65</c:v>
                </c:pt>
                <c:pt idx="55">
                  <c:v>2.65</c:v>
                </c:pt>
                <c:pt idx="56">
                  <c:v>2.65</c:v>
                </c:pt>
                <c:pt idx="57">
                  <c:v>2.65</c:v>
                </c:pt>
                <c:pt idx="58">
                  <c:v>2.65</c:v>
                </c:pt>
                <c:pt idx="59">
                  <c:v>2.65</c:v>
                </c:pt>
                <c:pt idx="60">
                  <c:v>2.65</c:v>
                </c:pt>
                <c:pt idx="61">
                  <c:v>2.65</c:v>
                </c:pt>
                <c:pt idx="62">
                  <c:v>2.65</c:v>
                </c:pt>
                <c:pt idx="63">
                  <c:v>2.65</c:v>
                </c:pt>
                <c:pt idx="64">
                  <c:v>2.65</c:v>
                </c:pt>
                <c:pt idx="65">
                  <c:v>2.65</c:v>
                </c:pt>
                <c:pt idx="66">
                  <c:v>2.65</c:v>
                </c:pt>
                <c:pt idx="67">
                  <c:v>2.65</c:v>
                </c:pt>
                <c:pt idx="68">
                  <c:v>2.65</c:v>
                </c:pt>
              </c:numCache>
            </c:numRef>
          </c:val>
          <c:smooth val="0"/>
          <c:extLst>
            <c:ext xmlns:c16="http://schemas.microsoft.com/office/drawing/2014/chart" uri="{C3380CC4-5D6E-409C-BE32-E72D297353CC}">
              <c16:uniqueId val="{00000002-CB9D-4D5B-98AA-2633DD2DD4C1}"/>
            </c:ext>
          </c:extLst>
        </c:ser>
        <c:ser>
          <c:idx val="3"/>
          <c:order val="3"/>
          <c:tx>
            <c:strRef>
              <c:f>'C chart'!$S$1</c:f>
              <c:strCache>
                <c:ptCount val="1"/>
                <c:pt idx="0">
                  <c:v>UCL</c:v>
                </c:pt>
              </c:strCache>
            </c:strRef>
          </c:tx>
          <c:spPr>
            <a:ln w="19050">
              <a:solidFill>
                <a:srgbClr val="FF0000"/>
              </a:solidFill>
              <a:prstDash val="dash"/>
            </a:ln>
          </c:spPr>
          <c:marker>
            <c:symbol val="none"/>
          </c:marker>
          <c:cat>
            <c:numRef>
              <c:f>'C chart'!$A$2:$A$70</c:f>
              <c:numCache>
                <c:formatCode>General</c:formatCode>
                <c:ptCount val="69"/>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numCache>
            </c:numRef>
          </c:cat>
          <c:val>
            <c:numRef>
              <c:f>'C chart'!$S$2:$S$70</c:f>
              <c:numCache>
                <c:formatCode>General</c:formatCode>
                <c:ptCount val="69"/>
                <c:pt idx="0">
                  <c:v>7.5336461788299118</c:v>
                </c:pt>
                <c:pt idx="1">
                  <c:v>7.5336461788299118</c:v>
                </c:pt>
                <c:pt idx="2">
                  <c:v>7.5336461788299118</c:v>
                </c:pt>
                <c:pt idx="3">
                  <c:v>7.5336461788299118</c:v>
                </c:pt>
                <c:pt idx="4">
                  <c:v>7.5336461788299118</c:v>
                </c:pt>
                <c:pt idx="5">
                  <c:v>7.5336461788299118</c:v>
                </c:pt>
                <c:pt idx="6">
                  <c:v>7.5336461788299118</c:v>
                </c:pt>
                <c:pt idx="7">
                  <c:v>7.5336461788299118</c:v>
                </c:pt>
                <c:pt idx="8">
                  <c:v>7.5336461788299118</c:v>
                </c:pt>
                <c:pt idx="9">
                  <c:v>7.5336461788299118</c:v>
                </c:pt>
                <c:pt idx="10">
                  <c:v>7.5336461788299118</c:v>
                </c:pt>
                <c:pt idx="11">
                  <c:v>7.5336461788299118</c:v>
                </c:pt>
                <c:pt idx="12">
                  <c:v>7.5336461788299118</c:v>
                </c:pt>
                <c:pt idx="13">
                  <c:v>7.5336461788299118</c:v>
                </c:pt>
                <c:pt idx="14">
                  <c:v>7.5336461788299118</c:v>
                </c:pt>
                <c:pt idx="15">
                  <c:v>7.5336461788299118</c:v>
                </c:pt>
                <c:pt idx="16">
                  <c:v>7.5336461788299118</c:v>
                </c:pt>
                <c:pt idx="17">
                  <c:v>7.5336461788299118</c:v>
                </c:pt>
                <c:pt idx="18">
                  <c:v>7.5336461788299118</c:v>
                </c:pt>
                <c:pt idx="19">
                  <c:v>7.5336461788299118</c:v>
                </c:pt>
                <c:pt idx="20">
                  <c:v>7.5336461788299118</c:v>
                </c:pt>
                <c:pt idx="21">
                  <c:v>7.5336461788299118</c:v>
                </c:pt>
                <c:pt idx="22">
                  <c:v>7.5336461788299118</c:v>
                </c:pt>
                <c:pt idx="23">
                  <c:v>7.5336461788299118</c:v>
                </c:pt>
                <c:pt idx="24">
                  <c:v>7.5336461788299118</c:v>
                </c:pt>
                <c:pt idx="25">
                  <c:v>7.5336461788299118</c:v>
                </c:pt>
                <c:pt idx="26">
                  <c:v>7.5336461788299118</c:v>
                </c:pt>
                <c:pt idx="27">
                  <c:v>7.5336461788299118</c:v>
                </c:pt>
                <c:pt idx="28">
                  <c:v>7.5336461788299118</c:v>
                </c:pt>
                <c:pt idx="29">
                  <c:v>7.5336461788299118</c:v>
                </c:pt>
                <c:pt idx="30">
                  <c:v>7.5336461788299118</c:v>
                </c:pt>
                <c:pt idx="31">
                  <c:v>7.5336461788299118</c:v>
                </c:pt>
                <c:pt idx="32">
                  <c:v>7.5336461788299118</c:v>
                </c:pt>
                <c:pt idx="33">
                  <c:v>7.5336461788299118</c:v>
                </c:pt>
                <c:pt idx="34">
                  <c:v>7.5336461788299118</c:v>
                </c:pt>
                <c:pt idx="35">
                  <c:v>7.5336461788299118</c:v>
                </c:pt>
                <c:pt idx="36">
                  <c:v>7.5336461788299118</c:v>
                </c:pt>
                <c:pt idx="37">
                  <c:v>7.5336461788299118</c:v>
                </c:pt>
                <c:pt idx="38">
                  <c:v>7.5336461788299118</c:v>
                </c:pt>
                <c:pt idx="39">
                  <c:v>7.5336461788299118</c:v>
                </c:pt>
                <c:pt idx="40">
                  <c:v>7.5336461788299118</c:v>
                </c:pt>
                <c:pt idx="41">
                  <c:v>7.5336461788299118</c:v>
                </c:pt>
                <c:pt idx="42">
                  <c:v>7.5336461788299118</c:v>
                </c:pt>
                <c:pt idx="43">
                  <c:v>7.5336461788299118</c:v>
                </c:pt>
                <c:pt idx="44">
                  <c:v>7.5336461788299118</c:v>
                </c:pt>
                <c:pt idx="45">
                  <c:v>7.5336461788299118</c:v>
                </c:pt>
                <c:pt idx="46">
                  <c:v>7.5336461788299118</c:v>
                </c:pt>
                <c:pt idx="47">
                  <c:v>7.5336461788299118</c:v>
                </c:pt>
                <c:pt idx="48">
                  <c:v>7.5336461788299118</c:v>
                </c:pt>
                <c:pt idx="49">
                  <c:v>7.5336461788299118</c:v>
                </c:pt>
                <c:pt idx="50">
                  <c:v>7.5336461788299118</c:v>
                </c:pt>
                <c:pt idx="51">
                  <c:v>7.5336461788299118</c:v>
                </c:pt>
                <c:pt idx="52">
                  <c:v>7.5336461788299118</c:v>
                </c:pt>
                <c:pt idx="53">
                  <c:v>7.5336461788299118</c:v>
                </c:pt>
                <c:pt idx="54">
                  <c:v>7.5336461788299118</c:v>
                </c:pt>
                <c:pt idx="55">
                  <c:v>7.5336461788299118</c:v>
                </c:pt>
                <c:pt idx="56">
                  <c:v>7.5336461788299118</c:v>
                </c:pt>
                <c:pt idx="57">
                  <c:v>7.5336461788299118</c:v>
                </c:pt>
                <c:pt idx="58">
                  <c:v>7.5336461788299118</c:v>
                </c:pt>
                <c:pt idx="59">
                  <c:v>7.5336461788299118</c:v>
                </c:pt>
                <c:pt idx="60">
                  <c:v>7.5336461788299118</c:v>
                </c:pt>
                <c:pt idx="61">
                  <c:v>7.5336461788299118</c:v>
                </c:pt>
                <c:pt idx="62">
                  <c:v>7.5336461788299118</c:v>
                </c:pt>
                <c:pt idx="63">
                  <c:v>7.5336461788299118</c:v>
                </c:pt>
                <c:pt idx="64">
                  <c:v>7.5336461788299118</c:v>
                </c:pt>
                <c:pt idx="65">
                  <c:v>7.5336461788299118</c:v>
                </c:pt>
                <c:pt idx="66">
                  <c:v>7.5336461788299118</c:v>
                </c:pt>
                <c:pt idx="67">
                  <c:v>7.5336461788299118</c:v>
                </c:pt>
                <c:pt idx="68">
                  <c:v>7.5336461788299118</c:v>
                </c:pt>
              </c:numCache>
            </c:numRef>
          </c:val>
          <c:smooth val="0"/>
          <c:extLst>
            <c:ext xmlns:c16="http://schemas.microsoft.com/office/drawing/2014/chart" uri="{C3380CC4-5D6E-409C-BE32-E72D297353CC}">
              <c16:uniqueId val="{00000003-CB9D-4D5B-98AA-2633DD2DD4C1}"/>
            </c:ext>
          </c:extLst>
        </c:ser>
        <c:dLbls>
          <c:showLegendKey val="0"/>
          <c:showVal val="0"/>
          <c:showCatName val="0"/>
          <c:showSerName val="0"/>
          <c:showPercent val="0"/>
          <c:showBubbleSize val="0"/>
        </c:dLbls>
        <c:marker val="1"/>
        <c:smooth val="0"/>
        <c:axId val="780692872"/>
        <c:axId val="667866720"/>
      </c:lineChart>
      <c:catAx>
        <c:axId val="780692872"/>
        <c:scaling>
          <c:orientation val="minMax"/>
        </c:scaling>
        <c:delete val="0"/>
        <c:axPos val="b"/>
        <c:numFmt formatCode="General" sourceLinked="1"/>
        <c:majorTickMark val="out"/>
        <c:minorTickMark val="none"/>
        <c:tickLblPos val="nextTo"/>
        <c:crossAx val="667866720"/>
        <c:crosses val="autoZero"/>
        <c:auto val="1"/>
        <c:lblAlgn val="ctr"/>
        <c:lblOffset val="100"/>
        <c:noMultiLvlLbl val="0"/>
      </c:catAx>
      <c:valAx>
        <c:axId val="667866720"/>
        <c:scaling>
          <c:orientation val="minMax"/>
          <c:min val="0"/>
        </c:scaling>
        <c:delete val="0"/>
        <c:axPos val="l"/>
        <c:title>
          <c:tx>
            <c:strRef>
              <c:f>'C chart'!#REF!</c:f>
              <c:strCache>
                <c:ptCount val="1"/>
                <c:pt idx="0">
                  <c:v>#REF!</c:v>
                </c:pt>
              </c:strCache>
            </c:strRef>
          </c:tx>
          <c:overlay val="0"/>
          <c:txPr>
            <a:bodyPr rot="-5400000" vert="horz"/>
            <a:lstStyle/>
            <a:p>
              <a:pPr>
                <a:defRPr/>
              </a:pPr>
              <a:endParaRPr lang="en-US"/>
            </a:p>
          </c:txPr>
        </c:title>
        <c:numFmt formatCode="General" sourceLinked="1"/>
        <c:majorTickMark val="out"/>
        <c:minorTickMark val="none"/>
        <c:tickLblPos val="nextTo"/>
        <c:crossAx val="780692872"/>
        <c:crosses val="autoZero"/>
        <c:crossBetween val="between"/>
      </c:valAx>
    </c:plotArea>
    <c:legend>
      <c:legendPos val="r"/>
      <c:layout>
        <c:manualLayout>
          <c:xMode val="edge"/>
          <c:yMode val="edge"/>
          <c:x val="0.75776377952755902"/>
          <c:y val="8.4915427238262155E-3"/>
          <c:w val="0.23945844269466343"/>
          <c:h val="0.21449839603382953"/>
        </c:manualLayout>
      </c:layout>
      <c:overlay val="0"/>
    </c:legend>
    <c:plotVisOnly val="1"/>
    <c:dispBlanksAs val="gap"/>
    <c:showDLblsOverMax val="0"/>
  </c:chart>
  <c:spPr>
    <a:ln>
      <a:noFill/>
    </a:ln>
  </c:spPr>
  <c:txPr>
    <a:bodyPr/>
    <a:lstStyle/>
    <a:p>
      <a:pPr>
        <a:defRPr>
          <a:latin typeface="Quicksand" pitchFamily="2" charset="0"/>
        </a:defRPr>
      </a:pPr>
      <a:endParaRPr lang="en-US"/>
    </a:p>
  </c:txPr>
  <c:printSettings>
    <c:headerFooter/>
    <c:pageMargins b="0.75000000000000089" l="0.70000000000000062" r="0.70000000000000062" t="0.75000000000000089" header="0.30000000000000032" footer="0.30000000000000032"/>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Xbar Chart</a:t>
            </a:r>
          </a:p>
        </c:rich>
      </c:tx>
      <c:overlay val="1"/>
    </c:title>
    <c:autoTitleDeleted val="0"/>
    <c:plotArea>
      <c:layout>
        <c:manualLayout>
          <c:layoutTarget val="inner"/>
          <c:xMode val="edge"/>
          <c:yMode val="edge"/>
          <c:x val="9.654370820975898E-2"/>
          <c:y val="0.14399314668999708"/>
          <c:w val="0.90209146239391558"/>
          <c:h val="0.66726084959458154"/>
        </c:manualLayout>
      </c:layout>
      <c:lineChart>
        <c:grouping val="standard"/>
        <c:varyColors val="0"/>
        <c:ser>
          <c:idx val="0"/>
          <c:order val="0"/>
          <c:tx>
            <c:strRef>
              <c:f>'Xbar mR chart'!$S$2</c:f>
              <c:strCache>
                <c:ptCount val="1"/>
                <c:pt idx="0">
                  <c:v>Xbar</c:v>
                </c:pt>
              </c:strCache>
            </c:strRef>
          </c:tx>
          <c:spPr>
            <a:ln w="19050"/>
          </c:spPr>
          <c:marker>
            <c:symbol val="circle"/>
            <c:size val="5"/>
            <c:spPr>
              <a:ln>
                <a:solidFill>
                  <a:schemeClr val="tx1"/>
                </a:solidFill>
              </a:ln>
            </c:spPr>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chart'!$S$3:$S$21</c:f>
              <c:numCache>
                <c:formatCode>_-* #,##0.00_-;\-* #,##0.00_-;_-* "-"??_-;_-@_-</c:formatCode>
                <c:ptCount val="19"/>
                <c:pt idx="0">
                  <c:v>113.33333333333333</c:v>
                </c:pt>
                <c:pt idx="1">
                  <c:v>108.83333333333333</c:v>
                </c:pt>
                <c:pt idx="2">
                  <c:v>113</c:v>
                </c:pt>
                <c:pt idx="3">
                  <c:v>113.14285714285714</c:v>
                </c:pt>
                <c:pt idx="4">
                  <c:v>109.57142857142857</c:v>
                </c:pt>
                <c:pt idx="5">
                  <c:v>105.44444444444444</c:v>
                </c:pt>
                <c:pt idx="6">
                  <c:v>101.875</c:v>
                </c:pt>
                <c:pt idx="7">
                  <c:v>109.42857142857143</c:v>
                </c:pt>
                <c:pt idx="8">
                  <c:v>107.85714285714286</c:v>
                </c:pt>
                <c:pt idx="9">
                  <c:v>105.5</c:v>
                </c:pt>
                <c:pt idx="10">
                  <c:v>110.42857142857143</c:v>
                </c:pt>
                <c:pt idx="11">
                  <c:v>112.85714285714286</c:v>
                </c:pt>
                <c:pt idx="12">
                  <c:v>101.85714285714286</c:v>
                </c:pt>
                <c:pt idx="13">
                  <c:v>105.42857142857143</c:v>
                </c:pt>
                <c:pt idx="14">
                  <c:v>105.88888888888889</c:v>
                </c:pt>
                <c:pt idx="15">
                  <c:v>98</c:v>
                </c:pt>
                <c:pt idx="16">
                  <c:v>100.625</c:v>
                </c:pt>
                <c:pt idx="17">
                  <c:v>111.28571428571429</c:v>
                </c:pt>
                <c:pt idx="18">
                  <c:v>105.66666666666667</c:v>
                </c:pt>
              </c:numCache>
            </c:numRef>
          </c:val>
          <c:smooth val="0"/>
          <c:extLst>
            <c:ext xmlns:c16="http://schemas.microsoft.com/office/drawing/2014/chart" uri="{C3380CC4-5D6E-409C-BE32-E72D297353CC}">
              <c16:uniqueId val="{00000000-60F1-40B4-AE38-B28BDE1A8D19}"/>
            </c:ext>
          </c:extLst>
        </c:ser>
        <c:ser>
          <c:idx val="1"/>
          <c:order val="1"/>
          <c:tx>
            <c:strRef>
              <c:f>'Xbar mR chart'!$T$2</c:f>
              <c:strCache>
                <c:ptCount val="1"/>
                <c:pt idx="0">
                  <c:v>LCL</c:v>
                </c:pt>
              </c:strCache>
            </c:strRef>
          </c:tx>
          <c:spPr>
            <a:ln w="19050">
              <a:solidFill>
                <a:srgbClr val="FF0000"/>
              </a:solidFill>
              <a:prstDash val="dash"/>
            </a:ln>
          </c:spPr>
          <c:marker>
            <c:symbol val="none"/>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chart'!$T$3:$T$21</c:f>
              <c:numCache>
                <c:formatCode>General</c:formatCode>
                <c:ptCount val="19"/>
                <c:pt idx="0" formatCode="_-* #,##0.00_-;\-* #,##0.00_-;_-* &quot;-&quot;??_-;_-@_-">
                  <c:v>93.643957800966035</c:v>
                </c:pt>
                <c:pt idx="1">
                  <c:v>93.643957800966035</c:v>
                </c:pt>
                <c:pt idx="2">
                  <c:v>93.643957800966035</c:v>
                </c:pt>
                <c:pt idx="3">
                  <c:v>93.643957800966035</c:v>
                </c:pt>
                <c:pt idx="4">
                  <c:v>93.643957800966035</c:v>
                </c:pt>
                <c:pt idx="5">
                  <c:v>93.643957800966035</c:v>
                </c:pt>
                <c:pt idx="6">
                  <c:v>93.643957800966035</c:v>
                </c:pt>
                <c:pt idx="7">
                  <c:v>93.643957800966035</c:v>
                </c:pt>
                <c:pt idx="8">
                  <c:v>93.643957800966035</c:v>
                </c:pt>
                <c:pt idx="9">
                  <c:v>93.643957800966035</c:v>
                </c:pt>
                <c:pt idx="10">
                  <c:v>93.643957800966035</c:v>
                </c:pt>
                <c:pt idx="11">
                  <c:v>93.643957800966035</c:v>
                </c:pt>
                <c:pt idx="12">
                  <c:v>93.643957800966035</c:v>
                </c:pt>
                <c:pt idx="13">
                  <c:v>93.643957800966035</c:v>
                </c:pt>
                <c:pt idx="14">
                  <c:v>93.643957800966035</c:v>
                </c:pt>
                <c:pt idx="15">
                  <c:v>93.643957800966035</c:v>
                </c:pt>
                <c:pt idx="16">
                  <c:v>93.643957800966035</c:v>
                </c:pt>
                <c:pt idx="17">
                  <c:v>93.643957800966035</c:v>
                </c:pt>
                <c:pt idx="18">
                  <c:v>93.643957800966035</c:v>
                </c:pt>
              </c:numCache>
            </c:numRef>
          </c:val>
          <c:smooth val="0"/>
          <c:extLst>
            <c:ext xmlns:c16="http://schemas.microsoft.com/office/drawing/2014/chart" uri="{C3380CC4-5D6E-409C-BE32-E72D297353CC}">
              <c16:uniqueId val="{00000001-60F1-40B4-AE38-B28BDE1A8D19}"/>
            </c:ext>
          </c:extLst>
        </c:ser>
        <c:ser>
          <c:idx val="2"/>
          <c:order val="2"/>
          <c:tx>
            <c:strRef>
              <c:f>'Xbar mR chart'!$U$2</c:f>
              <c:strCache>
                <c:ptCount val="1"/>
                <c:pt idx="0">
                  <c:v>-2 sigma</c:v>
                </c:pt>
              </c:strCache>
            </c:strRef>
          </c:tx>
          <c:spPr>
            <a:ln w="19050">
              <a:solidFill>
                <a:schemeClr val="bg1">
                  <a:lumMod val="85000"/>
                </a:schemeClr>
              </a:solidFill>
              <a:prstDash val="sysDash"/>
            </a:ln>
          </c:spPr>
          <c:marker>
            <c:symbol val="none"/>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chart'!$U$3:$U$21</c:f>
              <c:numCache>
                <c:formatCode>General</c:formatCode>
                <c:ptCount val="19"/>
                <c:pt idx="0">
                  <c:v>98.219196595798579</c:v>
                </c:pt>
                <c:pt idx="1">
                  <c:v>98.219196595798579</c:v>
                </c:pt>
                <c:pt idx="2">
                  <c:v>98.219196595798579</c:v>
                </c:pt>
                <c:pt idx="3">
                  <c:v>98.219196595798579</c:v>
                </c:pt>
                <c:pt idx="4">
                  <c:v>98.219196595798579</c:v>
                </c:pt>
                <c:pt idx="5">
                  <c:v>98.219196595798579</c:v>
                </c:pt>
                <c:pt idx="6">
                  <c:v>98.219196595798579</c:v>
                </c:pt>
                <c:pt idx="7">
                  <c:v>98.219196595798579</c:v>
                </c:pt>
                <c:pt idx="8">
                  <c:v>98.219196595798579</c:v>
                </c:pt>
                <c:pt idx="9">
                  <c:v>98.219196595798579</c:v>
                </c:pt>
                <c:pt idx="10">
                  <c:v>98.219196595798579</c:v>
                </c:pt>
                <c:pt idx="11">
                  <c:v>98.219196595798579</c:v>
                </c:pt>
                <c:pt idx="12">
                  <c:v>98.219196595798579</c:v>
                </c:pt>
                <c:pt idx="13">
                  <c:v>98.219196595798579</c:v>
                </c:pt>
                <c:pt idx="14">
                  <c:v>98.219196595798579</c:v>
                </c:pt>
                <c:pt idx="15">
                  <c:v>98.219196595798579</c:v>
                </c:pt>
                <c:pt idx="16">
                  <c:v>98.219196595798579</c:v>
                </c:pt>
                <c:pt idx="17">
                  <c:v>98.219196595798579</c:v>
                </c:pt>
                <c:pt idx="18">
                  <c:v>98.219196595798579</c:v>
                </c:pt>
              </c:numCache>
            </c:numRef>
          </c:val>
          <c:smooth val="0"/>
          <c:extLst>
            <c:ext xmlns:c16="http://schemas.microsoft.com/office/drawing/2014/chart" uri="{C3380CC4-5D6E-409C-BE32-E72D297353CC}">
              <c16:uniqueId val="{00000002-60F1-40B4-AE38-B28BDE1A8D19}"/>
            </c:ext>
          </c:extLst>
        </c:ser>
        <c:ser>
          <c:idx val="3"/>
          <c:order val="3"/>
          <c:tx>
            <c:strRef>
              <c:f>'Xbar mR chart'!$V$2</c:f>
              <c:strCache>
                <c:ptCount val="1"/>
                <c:pt idx="0">
                  <c:v>-1 sigma</c:v>
                </c:pt>
              </c:strCache>
            </c:strRef>
          </c:tx>
          <c:spPr>
            <a:ln w="19050">
              <a:solidFill>
                <a:schemeClr val="bg1">
                  <a:lumMod val="85000"/>
                </a:schemeClr>
              </a:solidFill>
              <a:prstDash val="sysDash"/>
            </a:ln>
          </c:spPr>
          <c:marker>
            <c:symbol val="none"/>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chart'!$V$3:$V$21</c:f>
              <c:numCache>
                <c:formatCode>General</c:formatCode>
                <c:ptCount val="19"/>
                <c:pt idx="0">
                  <c:v>102.79443539063111</c:v>
                </c:pt>
                <c:pt idx="1">
                  <c:v>102.79443539063111</c:v>
                </c:pt>
                <c:pt idx="2">
                  <c:v>102.79443539063111</c:v>
                </c:pt>
                <c:pt idx="3">
                  <c:v>102.79443539063111</c:v>
                </c:pt>
                <c:pt idx="4">
                  <c:v>102.79443539063111</c:v>
                </c:pt>
                <c:pt idx="5">
                  <c:v>102.79443539063111</c:v>
                </c:pt>
                <c:pt idx="6">
                  <c:v>102.79443539063111</c:v>
                </c:pt>
                <c:pt idx="7">
                  <c:v>102.79443539063111</c:v>
                </c:pt>
                <c:pt idx="8">
                  <c:v>102.79443539063111</c:v>
                </c:pt>
                <c:pt idx="9">
                  <c:v>102.79443539063111</c:v>
                </c:pt>
                <c:pt idx="10">
                  <c:v>102.79443539063111</c:v>
                </c:pt>
                <c:pt idx="11">
                  <c:v>102.79443539063111</c:v>
                </c:pt>
                <c:pt idx="12">
                  <c:v>102.79443539063111</c:v>
                </c:pt>
                <c:pt idx="13">
                  <c:v>102.79443539063111</c:v>
                </c:pt>
                <c:pt idx="14">
                  <c:v>102.79443539063111</c:v>
                </c:pt>
                <c:pt idx="15">
                  <c:v>102.79443539063111</c:v>
                </c:pt>
                <c:pt idx="16">
                  <c:v>102.79443539063111</c:v>
                </c:pt>
                <c:pt idx="17">
                  <c:v>102.79443539063111</c:v>
                </c:pt>
                <c:pt idx="18">
                  <c:v>102.79443539063111</c:v>
                </c:pt>
              </c:numCache>
            </c:numRef>
          </c:val>
          <c:smooth val="0"/>
          <c:extLst>
            <c:ext xmlns:c16="http://schemas.microsoft.com/office/drawing/2014/chart" uri="{C3380CC4-5D6E-409C-BE32-E72D297353CC}">
              <c16:uniqueId val="{00000003-60F1-40B4-AE38-B28BDE1A8D19}"/>
            </c:ext>
          </c:extLst>
        </c:ser>
        <c:ser>
          <c:idx val="4"/>
          <c:order val="4"/>
          <c:tx>
            <c:strRef>
              <c:f>'Xbar mR chart'!$W$2</c:f>
              <c:strCache>
                <c:ptCount val="1"/>
                <c:pt idx="0">
                  <c:v>Mean Defects (Xbar)</c:v>
                </c:pt>
              </c:strCache>
            </c:strRef>
          </c:tx>
          <c:spPr>
            <a:ln w="19050">
              <a:solidFill>
                <a:srgbClr val="00B050"/>
              </a:solidFill>
            </a:ln>
          </c:spPr>
          <c:marker>
            <c:symbol val="none"/>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chart'!$W$3:$W$21</c:f>
              <c:numCache>
                <c:formatCode>General</c:formatCode>
                <c:ptCount val="19"/>
                <c:pt idx="0">
                  <c:v>107.36967418546365</c:v>
                </c:pt>
                <c:pt idx="1">
                  <c:v>107.36967418546365</c:v>
                </c:pt>
                <c:pt idx="2">
                  <c:v>107.36967418546365</c:v>
                </c:pt>
                <c:pt idx="3">
                  <c:v>107.36967418546365</c:v>
                </c:pt>
                <c:pt idx="4">
                  <c:v>107.36967418546365</c:v>
                </c:pt>
                <c:pt idx="5">
                  <c:v>107.36967418546365</c:v>
                </c:pt>
                <c:pt idx="6">
                  <c:v>107.36967418546365</c:v>
                </c:pt>
                <c:pt idx="7">
                  <c:v>107.36967418546365</c:v>
                </c:pt>
                <c:pt idx="8">
                  <c:v>107.36967418546365</c:v>
                </c:pt>
                <c:pt idx="9">
                  <c:v>107.36967418546365</c:v>
                </c:pt>
                <c:pt idx="10">
                  <c:v>107.36967418546365</c:v>
                </c:pt>
                <c:pt idx="11">
                  <c:v>107.36967418546365</c:v>
                </c:pt>
                <c:pt idx="12">
                  <c:v>107.36967418546365</c:v>
                </c:pt>
                <c:pt idx="13">
                  <c:v>107.36967418546365</c:v>
                </c:pt>
                <c:pt idx="14">
                  <c:v>107.36967418546365</c:v>
                </c:pt>
                <c:pt idx="15">
                  <c:v>107.36967418546365</c:v>
                </c:pt>
                <c:pt idx="16">
                  <c:v>107.36967418546365</c:v>
                </c:pt>
                <c:pt idx="17">
                  <c:v>107.36967418546365</c:v>
                </c:pt>
                <c:pt idx="18">
                  <c:v>107.36967418546365</c:v>
                </c:pt>
              </c:numCache>
            </c:numRef>
          </c:val>
          <c:smooth val="0"/>
          <c:extLst>
            <c:ext xmlns:c16="http://schemas.microsoft.com/office/drawing/2014/chart" uri="{C3380CC4-5D6E-409C-BE32-E72D297353CC}">
              <c16:uniqueId val="{00000004-60F1-40B4-AE38-B28BDE1A8D19}"/>
            </c:ext>
          </c:extLst>
        </c:ser>
        <c:ser>
          <c:idx val="5"/>
          <c:order val="5"/>
          <c:tx>
            <c:strRef>
              <c:f>'Xbar mR chart'!$X$2</c:f>
              <c:strCache>
                <c:ptCount val="1"/>
                <c:pt idx="0">
                  <c:v>+1 sigma</c:v>
                </c:pt>
              </c:strCache>
            </c:strRef>
          </c:tx>
          <c:spPr>
            <a:ln w="19050">
              <a:solidFill>
                <a:schemeClr val="bg1">
                  <a:lumMod val="85000"/>
                </a:schemeClr>
              </a:solidFill>
              <a:prstDash val="sysDash"/>
            </a:ln>
          </c:spPr>
          <c:marker>
            <c:symbol val="none"/>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chart'!$X$3:$X$21</c:f>
              <c:numCache>
                <c:formatCode>General</c:formatCode>
                <c:ptCount val="19"/>
                <c:pt idx="0">
                  <c:v>111.94491298029619</c:v>
                </c:pt>
                <c:pt idx="1">
                  <c:v>111.94491298029619</c:v>
                </c:pt>
                <c:pt idx="2">
                  <c:v>111.94491298029619</c:v>
                </c:pt>
                <c:pt idx="3">
                  <c:v>111.94491298029619</c:v>
                </c:pt>
                <c:pt idx="4">
                  <c:v>111.94491298029619</c:v>
                </c:pt>
                <c:pt idx="5">
                  <c:v>111.94491298029619</c:v>
                </c:pt>
                <c:pt idx="6">
                  <c:v>111.94491298029619</c:v>
                </c:pt>
                <c:pt idx="7">
                  <c:v>111.94491298029619</c:v>
                </c:pt>
                <c:pt idx="8">
                  <c:v>111.94491298029619</c:v>
                </c:pt>
                <c:pt idx="9">
                  <c:v>111.94491298029619</c:v>
                </c:pt>
                <c:pt idx="10">
                  <c:v>111.94491298029619</c:v>
                </c:pt>
                <c:pt idx="11">
                  <c:v>111.94491298029619</c:v>
                </c:pt>
                <c:pt idx="12">
                  <c:v>111.94491298029619</c:v>
                </c:pt>
                <c:pt idx="13">
                  <c:v>111.94491298029619</c:v>
                </c:pt>
                <c:pt idx="14">
                  <c:v>111.94491298029619</c:v>
                </c:pt>
                <c:pt idx="15">
                  <c:v>111.94491298029619</c:v>
                </c:pt>
                <c:pt idx="16">
                  <c:v>111.94491298029619</c:v>
                </c:pt>
                <c:pt idx="17">
                  <c:v>111.94491298029619</c:v>
                </c:pt>
                <c:pt idx="18">
                  <c:v>111.94491298029619</c:v>
                </c:pt>
              </c:numCache>
            </c:numRef>
          </c:val>
          <c:smooth val="0"/>
          <c:extLst>
            <c:ext xmlns:c16="http://schemas.microsoft.com/office/drawing/2014/chart" uri="{C3380CC4-5D6E-409C-BE32-E72D297353CC}">
              <c16:uniqueId val="{00000005-60F1-40B4-AE38-B28BDE1A8D19}"/>
            </c:ext>
          </c:extLst>
        </c:ser>
        <c:ser>
          <c:idx val="6"/>
          <c:order val="6"/>
          <c:tx>
            <c:strRef>
              <c:f>'Xbar mR chart'!$Y$2</c:f>
              <c:strCache>
                <c:ptCount val="1"/>
                <c:pt idx="0">
                  <c:v>+2 sigma</c:v>
                </c:pt>
              </c:strCache>
            </c:strRef>
          </c:tx>
          <c:spPr>
            <a:ln w="19050">
              <a:solidFill>
                <a:schemeClr val="bg1">
                  <a:lumMod val="85000"/>
                </a:schemeClr>
              </a:solidFill>
              <a:prstDash val="sysDash"/>
            </a:ln>
          </c:spPr>
          <c:marker>
            <c:symbol val="none"/>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chart'!$Y$3:$Y$21</c:f>
              <c:numCache>
                <c:formatCode>General</c:formatCode>
                <c:ptCount val="19"/>
                <c:pt idx="0">
                  <c:v>116.52015177512872</c:v>
                </c:pt>
                <c:pt idx="1">
                  <c:v>116.52015177512872</c:v>
                </c:pt>
                <c:pt idx="2">
                  <c:v>116.52015177512872</c:v>
                </c:pt>
                <c:pt idx="3">
                  <c:v>116.52015177512872</c:v>
                </c:pt>
                <c:pt idx="4">
                  <c:v>116.52015177512872</c:v>
                </c:pt>
                <c:pt idx="5">
                  <c:v>116.52015177512872</c:v>
                </c:pt>
                <c:pt idx="6">
                  <c:v>116.52015177512872</c:v>
                </c:pt>
                <c:pt idx="7">
                  <c:v>116.52015177512872</c:v>
                </c:pt>
                <c:pt idx="8">
                  <c:v>116.52015177512872</c:v>
                </c:pt>
                <c:pt idx="9">
                  <c:v>116.52015177512872</c:v>
                </c:pt>
                <c:pt idx="10">
                  <c:v>116.52015177512872</c:v>
                </c:pt>
                <c:pt idx="11">
                  <c:v>116.52015177512872</c:v>
                </c:pt>
                <c:pt idx="12">
                  <c:v>116.52015177512872</c:v>
                </c:pt>
                <c:pt idx="13">
                  <c:v>116.52015177512872</c:v>
                </c:pt>
                <c:pt idx="14">
                  <c:v>116.52015177512872</c:v>
                </c:pt>
                <c:pt idx="15">
                  <c:v>116.52015177512872</c:v>
                </c:pt>
                <c:pt idx="16">
                  <c:v>116.52015177512872</c:v>
                </c:pt>
                <c:pt idx="17">
                  <c:v>116.52015177512872</c:v>
                </c:pt>
                <c:pt idx="18">
                  <c:v>116.52015177512872</c:v>
                </c:pt>
              </c:numCache>
            </c:numRef>
          </c:val>
          <c:smooth val="0"/>
          <c:extLst>
            <c:ext xmlns:c16="http://schemas.microsoft.com/office/drawing/2014/chart" uri="{C3380CC4-5D6E-409C-BE32-E72D297353CC}">
              <c16:uniqueId val="{00000006-60F1-40B4-AE38-B28BDE1A8D19}"/>
            </c:ext>
          </c:extLst>
        </c:ser>
        <c:ser>
          <c:idx val="7"/>
          <c:order val="7"/>
          <c:tx>
            <c:strRef>
              <c:f>'Xbar mR chart'!$Z$2</c:f>
              <c:strCache>
                <c:ptCount val="1"/>
                <c:pt idx="0">
                  <c:v>UCL</c:v>
                </c:pt>
              </c:strCache>
            </c:strRef>
          </c:tx>
          <c:spPr>
            <a:ln w="19050">
              <a:solidFill>
                <a:srgbClr val="FF0000"/>
              </a:solidFill>
              <a:prstDash val="dash"/>
            </a:ln>
          </c:spPr>
          <c:marker>
            <c:symbol val="none"/>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chart'!$Z$3:$Z$21</c:f>
              <c:numCache>
                <c:formatCode>_-* #,##0.00_-;\-* #,##0.00_-;_-* "-"??_-;_-@_-</c:formatCode>
                <c:ptCount val="19"/>
                <c:pt idx="0">
                  <c:v>121.09539056996127</c:v>
                </c:pt>
                <c:pt idx="1">
                  <c:v>121.09539056996127</c:v>
                </c:pt>
                <c:pt idx="2">
                  <c:v>121.09539056996127</c:v>
                </c:pt>
                <c:pt idx="3">
                  <c:v>121.09539056996127</c:v>
                </c:pt>
                <c:pt idx="4">
                  <c:v>121.09539056996127</c:v>
                </c:pt>
                <c:pt idx="5">
                  <c:v>121.09539056996127</c:v>
                </c:pt>
                <c:pt idx="6">
                  <c:v>121.09539056996127</c:v>
                </c:pt>
                <c:pt idx="7">
                  <c:v>121.09539056996127</c:v>
                </c:pt>
                <c:pt idx="8">
                  <c:v>121.09539056996127</c:v>
                </c:pt>
                <c:pt idx="9">
                  <c:v>121.09539056996127</c:v>
                </c:pt>
                <c:pt idx="10">
                  <c:v>121.09539056996127</c:v>
                </c:pt>
                <c:pt idx="11">
                  <c:v>121.09539056996127</c:v>
                </c:pt>
                <c:pt idx="12">
                  <c:v>121.09539056996127</c:v>
                </c:pt>
                <c:pt idx="13">
                  <c:v>121.09539056996127</c:v>
                </c:pt>
                <c:pt idx="14">
                  <c:v>121.09539056996127</c:v>
                </c:pt>
                <c:pt idx="15">
                  <c:v>121.09539056996127</c:v>
                </c:pt>
                <c:pt idx="16">
                  <c:v>121.09539056996127</c:v>
                </c:pt>
                <c:pt idx="17">
                  <c:v>121.09539056996127</c:v>
                </c:pt>
                <c:pt idx="18">
                  <c:v>121.09539056996127</c:v>
                </c:pt>
              </c:numCache>
            </c:numRef>
          </c:val>
          <c:smooth val="0"/>
          <c:extLst>
            <c:ext xmlns:c16="http://schemas.microsoft.com/office/drawing/2014/chart" uri="{C3380CC4-5D6E-409C-BE32-E72D297353CC}">
              <c16:uniqueId val="{00000007-60F1-40B4-AE38-B28BDE1A8D19}"/>
            </c:ext>
          </c:extLst>
        </c:ser>
        <c:ser>
          <c:idx val="8"/>
          <c:order val="8"/>
          <c:tx>
            <c:strRef>
              <c:f>'Xbar mR chart'!$AA$2</c:f>
              <c:strCache>
                <c:ptCount val="1"/>
                <c:pt idx="0">
                  <c:v>test1</c:v>
                </c:pt>
              </c:strCache>
            </c:strRef>
          </c:tx>
          <c:spPr>
            <a:ln>
              <a:noFill/>
            </a:ln>
          </c:spPr>
          <c:marker>
            <c:symbol val="circle"/>
            <c:size val="7"/>
            <c:spPr>
              <a:solidFill>
                <a:srgbClr val="FF0000"/>
              </a:solidFill>
            </c:spPr>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chart'!$AA$3:$AA$21</c:f>
              <c:numCache>
                <c:formatCode>General</c:formatCode>
                <c:ptCount val="19"/>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numCache>
            </c:numRef>
          </c:val>
          <c:smooth val="0"/>
          <c:extLst>
            <c:ext xmlns:c16="http://schemas.microsoft.com/office/drawing/2014/chart" uri="{C3380CC4-5D6E-409C-BE32-E72D297353CC}">
              <c16:uniqueId val="{00000008-60F1-40B4-AE38-B28BDE1A8D19}"/>
            </c:ext>
          </c:extLst>
        </c:ser>
        <c:ser>
          <c:idx val="9"/>
          <c:order val="9"/>
          <c:tx>
            <c:strRef>
              <c:f>'Xbar mR chart'!$AB$2</c:f>
              <c:strCache>
                <c:ptCount val="1"/>
                <c:pt idx="0">
                  <c:v>test2</c:v>
                </c:pt>
              </c:strCache>
            </c:strRef>
          </c:tx>
          <c:spPr>
            <a:ln>
              <a:noFill/>
            </a:ln>
          </c:spPr>
          <c:marker>
            <c:symbol val="diamond"/>
            <c:size val="7"/>
            <c:spPr>
              <a:solidFill>
                <a:srgbClr val="FF0000"/>
              </a:solidFill>
              <a:ln>
                <a:solidFill>
                  <a:schemeClr val="tx1"/>
                </a:solidFill>
              </a:ln>
            </c:spPr>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chart'!$AB$3:$AB$21</c:f>
              <c:numCache>
                <c:formatCode>General</c:formatCode>
                <c:ptCount val="19"/>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numCache>
            </c:numRef>
          </c:val>
          <c:smooth val="0"/>
          <c:extLst>
            <c:ext xmlns:c16="http://schemas.microsoft.com/office/drawing/2014/chart" uri="{C3380CC4-5D6E-409C-BE32-E72D297353CC}">
              <c16:uniqueId val="{00000009-60F1-40B4-AE38-B28BDE1A8D19}"/>
            </c:ext>
          </c:extLst>
        </c:ser>
        <c:ser>
          <c:idx val="10"/>
          <c:order val="10"/>
          <c:tx>
            <c:strRef>
              <c:f>'Xbar mR chart'!$AC$2</c:f>
              <c:strCache>
                <c:ptCount val="1"/>
                <c:pt idx="0">
                  <c:v>test 3</c:v>
                </c:pt>
              </c:strCache>
            </c:strRef>
          </c:tx>
          <c:spPr>
            <a:ln>
              <a:noFill/>
            </a:ln>
          </c:spPr>
          <c:marker>
            <c:symbol val="square"/>
            <c:size val="7"/>
            <c:spPr>
              <a:solidFill>
                <a:srgbClr val="FF0000"/>
              </a:solidFill>
              <a:ln>
                <a:solidFill>
                  <a:schemeClr val="accent3">
                    <a:lumMod val="75000"/>
                  </a:schemeClr>
                </a:solidFill>
              </a:ln>
            </c:spPr>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chart'!$AC$3:$AC$21</c:f>
              <c:numCache>
                <c:formatCode>General</c:formatCode>
                <c:ptCount val="19"/>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numCache>
            </c:numRef>
          </c:val>
          <c:smooth val="0"/>
          <c:extLst>
            <c:ext xmlns:c16="http://schemas.microsoft.com/office/drawing/2014/chart" uri="{C3380CC4-5D6E-409C-BE32-E72D297353CC}">
              <c16:uniqueId val="{0000000A-60F1-40B4-AE38-B28BDE1A8D19}"/>
            </c:ext>
          </c:extLst>
        </c:ser>
        <c:dLbls>
          <c:showLegendKey val="0"/>
          <c:showVal val="0"/>
          <c:showCatName val="0"/>
          <c:showSerName val="0"/>
          <c:showPercent val="0"/>
          <c:showBubbleSize val="0"/>
        </c:dLbls>
        <c:marker val="1"/>
        <c:smooth val="0"/>
        <c:axId val="667868680"/>
        <c:axId val="667869072"/>
      </c:lineChart>
      <c:dateAx>
        <c:axId val="667868680"/>
        <c:scaling>
          <c:orientation val="minMax"/>
        </c:scaling>
        <c:delete val="0"/>
        <c:axPos val="b"/>
        <c:numFmt formatCode="d\-mmm" sourceLinked="1"/>
        <c:majorTickMark val="out"/>
        <c:minorTickMark val="none"/>
        <c:tickLblPos val="nextTo"/>
        <c:crossAx val="667869072"/>
        <c:crosses val="autoZero"/>
        <c:auto val="1"/>
        <c:lblOffset val="100"/>
        <c:baseTimeUnit val="days"/>
      </c:dateAx>
      <c:valAx>
        <c:axId val="667869072"/>
        <c:scaling>
          <c:orientation val="minMax"/>
          <c:min val="0"/>
        </c:scaling>
        <c:delete val="0"/>
        <c:axPos val="l"/>
        <c:title>
          <c:tx>
            <c:strRef>
              <c:f>'Xbar mR chart'!$B$2</c:f>
              <c:strCache>
                <c:ptCount val="1"/>
                <c:pt idx="0">
                  <c:v> Xbar Measure </c:v>
                </c:pt>
              </c:strCache>
            </c:strRef>
          </c:tx>
          <c:overlay val="0"/>
          <c:txPr>
            <a:bodyPr rot="-5400000" vert="horz"/>
            <a:lstStyle/>
            <a:p>
              <a:pPr>
                <a:defRPr/>
              </a:pPr>
              <a:endParaRPr lang="en-US"/>
            </a:p>
          </c:txPr>
        </c:title>
        <c:numFmt formatCode="_-* #,##0.00_-;\-* #,##0.00_-;_-* &quot;-&quot;??_-;_-@_-" sourceLinked="1"/>
        <c:majorTickMark val="out"/>
        <c:minorTickMark val="none"/>
        <c:tickLblPos val="nextTo"/>
        <c:crossAx val="667868680"/>
        <c:crosses val="autoZero"/>
        <c:crossBetween val="between"/>
      </c:valAx>
    </c:plotArea>
    <c:plotVisOnly val="1"/>
    <c:dispBlanksAs val="gap"/>
    <c:showDLblsOverMax val="0"/>
  </c:chart>
  <c:spPr>
    <a:ln>
      <a:noFill/>
    </a:ln>
  </c:spPr>
  <c:txPr>
    <a:bodyPr/>
    <a:lstStyle/>
    <a:p>
      <a:pPr>
        <a:defRPr>
          <a:latin typeface="+mn-lt"/>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mR</a:t>
            </a:r>
          </a:p>
        </c:rich>
      </c:tx>
      <c:overlay val="1"/>
    </c:title>
    <c:autoTitleDeleted val="0"/>
    <c:plotArea>
      <c:layout>
        <c:manualLayout>
          <c:layoutTarget val="inner"/>
          <c:xMode val="edge"/>
          <c:yMode val="edge"/>
          <c:x val="9.099367994163185E-2"/>
          <c:y val="0.14399314668999708"/>
          <c:w val="0.89086001433936279"/>
          <c:h val="0.6353607839599138"/>
        </c:manualLayout>
      </c:layout>
      <c:lineChart>
        <c:grouping val="standard"/>
        <c:varyColors val="0"/>
        <c:ser>
          <c:idx val="0"/>
          <c:order val="0"/>
          <c:tx>
            <c:strRef>
              <c:f>'Xbar mR chart'!$AE$2</c:f>
              <c:strCache>
                <c:ptCount val="1"/>
                <c:pt idx="0">
                  <c:v>moving range (mR)</c:v>
                </c:pt>
              </c:strCache>
            </c:strRef>
          </c:tx>
          <c:spPr>
            <a:ln w="19050"/>
          </c:spPr>
          <c:marker>
            <c:symbol val="circle"/>
            <c:size val="5"/>
            <c:spPr>
              <a:ln>
                <a:solidFill>
                  <a:schemeClr val="tx1"/>
                </a:solidFill>
              </a:ln>
            </c:spPr>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chart'!$AE$3:$AE$19</c:f>
              <c:numCache>
                <c:formatCode>General</c:formatCode>
                <c:ptCount val="17"/>
                <c:pt idx="0">
                  <c:v>4</c:v>
                </c:pt>
                <c:pt idx="1">
                  <c:v>34</c:v>
                </c:pt>
                <c:pt idx="2">
                  <c:v>7</c:v>
                </c:pt>
                <c:pt idx="3">
                  <c:v>11</c:v>
                </c:pt>
                <c:pt idx="4">
                  <c:v>40</c:v>
                </c:pt>
                <c:pt idx="5">
                  <c:v>67</c:v>
                </c:pt>
                <c:pt idx="6">
                  <c:v>84</c:v>
                </c:pt>
                <c:pt idx="7">
                  <c:v>12</c:v>
                </c:pt>
                <c:pt idx="8">
                  <c:v>51</c:v>
                </c:pt>
                <c:pt idx="9">
                  <c:v>58</c:v>
                </c:pt>
                <c:pt idx="10">
                  <c:v>12</c:v>
                </c:pt>
                <c:pt idx="11">
                  <c:v>5</c:v>
                </c:pt>
                <c:pt idx="12">
                  <c:v>87</c:v>
                </c:pt>
                <c:pt idx="13">
                  <c:v>59</c:v>
                </c:pt>
                <c:pt idx="14">
                  <c:v>51</c:v>
                </c:pt>
                <c:pt idx="15">
                  <c:v>95</c:v>
                </c:pt>
                <c:pt idx="16">
                  <c:v>103</c:v>
                </c:pt>
              </c:numCache>
            </c:numRef>
          </c:val>
          <c:smooth val="0"/>
          <c:extLst>
            <c:ext xmlns:c16="http://schemas.microsoft.com/office/drawing/2014/chart" uri="{C3380CC4-5D6E-409C-BE32-E72D297353CC}">
              <c16:uniqueId val="{00000000-8CE7-49E2-B60C-DF07C4BEAAF3}"/>
            </c:ext>
          </c:extLst>
        </c:ser>
        <c:ser>
          <c:idx val="1"/>
          <c:order val="1"/>
          <c:tx>
            <c:strRef>
              <c:f>'Xbar mR chart'!$AF$2</c:f>
              <c:strCache>
                <c:ptCount val="1"/>
                <c:pt idx="0">
                  <c:v>LCL</c:v>
                </c:pt>
              </c:strCache>
            </c:strRef>
          </c:tx>
          <c:spPr>
            <a:ln w="19050">
              <a:solidFill>
                <a:schemeClr val="bg1">
                  <a:lumMod val="75000"/>
                </a:schemeClr>
              </a:solidFill>
              <a:prstDash val="dash"/>
            </a:ln>
          </c:spPr>
          <c:marker>
            <c:symbol val="none"/>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chart'!$AF$3:$AF$19</c:f>
              <c:numCache>
                <c:formatCode>General</c:formatCode>
                <c:ptCount val="17"/>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numCache>
            </c:numRef>
          </c:val>
          <c:smooth val="0"/>
          <c:extLst>
            <c:ext xmlns:c16="http://schemas.microsoft.com/office/drawing/2014/chart" uri="{C3380CC4-5D6E-409C-BE32-E72D297353CC}">
              <c16:uniqueId val="{00000001-8CE7-49E2-B60C-DF07C4BEAAF3}"/>
            </c:ext>
          </c:extLst>
        </c:ser>
        <c:ser>
          <c:idx val="2"/>
          <c:order val="2"/>
          <c:tx>
            <c:strRef>
              <c:f>'Xbar mR chart'!$AG$2</c:f>
              <c:strCache>
                <c:ptCount val="1"/>
                <c:pt idx="0">
                  <c:v>-2 sigma</c:v>
                </c:pt>
              </c:strCache>
            </c:strRef>
          </c:tx>
          <c:spPr>
            <a:ln w="19050">
              <a:solidFill>
                <a:srgbClr val="FF0000"/>
              </a:solidFill>
              <a:prstDash val="sysDash"/>
            </a:ln>
          </c:spPr>
          <c:marker>
            <c:symbol val="none"/>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chart'!$AG$3:$AG$19</c:f>
              <c:numCache>
                <c:formatCode>General</c:formatCode>
                <c:ptCount val="17"/>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numCache>
            </c:numRef>
          </c:val>
          <c:smooth val="0"/>
          <c:extLst>
            <c:ext xmlns:c16="http://schemas.microsoft.com/office/drawing/2014/chart" uri="{C3380CC4-5D6E-409C-BE32-E72D297353CC}">
              <c16:uniqueId val="{00000002-8CE7-49E2-B60C-DF07C4BEAAF3}"/>
            </c:ext>
          </c:extLst>
        </c:ser>
        <c:ser>
          <c:idx val="3"/>
          <c:order val="3"/>
          <c:tx>
            <c:strRef>
              <c:f>'Xbar mR chart'!$AH$2</c:f>
              <c:strCache>
                <c:ptCount val="1"/>
                <c:pt idx="0">
                  <c:v>-1 sigma</c:v>
                </c:pt>
              </c:strCache>
            </c:strRef>
          </c:tx>
          <c:spPr>
            <a:ln w="19050">
              <a:solidFill>
                <a:schemeClr val="bg1">
                  <a:lumMod val="85000"/>
                </a:schemeClr>
              </a:solidFill>
              <a:prstDash val="sysDash"/>
            </a:ln>
          </c:spPr>
          <c:marker>
            <c:symbol val="none"/>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chart'!$AH$3:$AH$19</c:f>
              <c:numCache>
                <c:formatCode>General</c:formatCode>
                <c:ptCount val="17"/>
                <c:pt idx="0">
                  <c:v>10.840684210526319</c:v>
                </c:pt>
                <c:pt idx="1">
                  <c:v>10.840684210526319</c:v>
                </c:pt>
                <c:pt idx="2">
                  <c:v>10.840684210526319</c:v>
                </c:pt>
                <c:pt idx="3">
                  <c:v>10.840684210526319</c:v>
                </c:pt>
                <c:pt idx="4">
                  <c:v>10.840684210526319</c:v>
                </c:pt>
                <c:pt idx="5">
                  <c:v>10.840684210526319</c:v>
                </c:pt>
                <c:pt idx="6">
                  <c:v>10.840684210526319</c:v>
                </c:pt>
                <c:pt idx="7">
                  <c:v>10.840684210526319</c:v>
                </c:pt>
                <c:pt idx="8">
                  <c:v>10.840684210526319</c:v>
                </c:pt>
                <c:pt idx="9">
                  <c:v>10.840684210526319</c:v>
                </c:pt>
                <c:pt idx="10">
                  <c:v>10.840684210526319</c:v>
                </c:pt>
                <c:pt idx="11">
                  <c:v>10.840684210526319</c:v>
                </c:pt>
                <c:pt idx="12">
                  <c:v>10.840684210526319</c:v>
                </c:pt>
                <c:pt idx="13">
                  <c:v>10.840684210526319</c:v>
                </c:pt>
                <c:pt idx="14">
                  <c:v>10.840684210526319</c:v>
                </c:pt>
                <c:pt idx="15">
                  <c:v>10.840684210526319</c:v>
                </c:pt>
                <c:pt idx="16">
                  <c:v>10.840684210526319</c:v>
                </c:pt>
              </c:numCache>
            </c:numRef>
          </c:val>
          <c:smooth val="0"/>
          <c:extLst>
            <c:ext xmlns:c16="http://schemas.microsoft.com/office/drawing/2014/chart" uri="{C3380CC4-5D6E-409C-BE32-E72D297353CC}">
              <c16:uniqueId val="{00000003-8CE7-49E2-B60C-DF07C4BEAAF3}"/>
            </c:ext>
          </c:extLst>
        </c:ser>
        <c:ser>
          <c:idx val="4"/>
          <c:order val="4"/>
          <c:tx>
            <c:strRef>
              <c:f>'Xbar mR chart'!$AI$2</c:f>
              <c:strCache>
                <c:ptCount val="1"/>
                <c:pt idx="0">
                  <c:v>R bar</c:v>
                </c:pt>
              </c:strCache>
            </c:strRef>
          </c:tx>
          <c:spPr>
            <a:ln w="19050">
              <a:solidFill>
                <a:srgbClr val="00B050"/>
              </a:solidFill>
            </a:ln>
          </c:spPr>
          <c:marker>
            <c:symbol val="none"/>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chart'!$AI$3:$AI$19</c:f>
              <c:numCache>
                <c:formatCode>General</c:formatCode>
                <c:ptCount val="17"/>
                <c:pt idx="0">
                  <c:v>44.368421052631582</c:v>
                </c:pt>
                <c:pt idx="1">
                  <c:v>44.368421052631582</c:v>
                </c:pt>
                <c:pt idx="2">
                  <c:v>44.368421052631582</c:v>
                </c:pt>
                <c:pt idx="3">
                  <c:v>44.368421052631582</c:v>
                </c:pt>
                <c:pt idx="4">
                  <c:v>44.368421052631582</c:v>
                </c:pt>
                <c:pt idx="5">
                  <c:v>44.368421052631582</c:v>
                </c:pt>
                <c:pt idx="6">
                  <c:v>44.368421052631582</c:v>
                </c:pt>
                <c:pt idx="7">
                  <c:v>44.368421052631582</c:v>
                </c:pt>
                <c:pt idx="8">
                  <c:v>44.368421052631582</c:v>
                </c:pt>
                <c:pt idx="9">
                  <c:v>44.368421052631582</c:v>
                </c:pt>
                <c:pt idx="10">
                  <c:v>44.368421052631582</c:v>
                </c:pt>
                <c:pt idx="11">
                  <c:v>44.368421052631582</c:v>
                </c:pt>
                <c:pt idx="12">
                  <c:v>44.368421052631582</c:v>
                </c:pt>
                <c:pt idx="13">
                  <c:v>44.368421052631582</c:v>
                </c:pt>
                <c:pt idx="14">
                  <c:v>44.368421052631582</c:v>
                </c:pt>
                <c:pt idx="15">
                  <c:v>44.368421052631582</c:v>
                </c:pt>
                <c:pt idx="16">
                  <c:v>44.368421052631582</c:v>
                </c:pt>
              </c:numCache>
            </c:numRef>
          </c:val>
          <c:smooth val="0"/>
          <c:extLst>
            <c:ext xmlns:c16="http://schemas.microsoft.com/office/drawing/2014/chart" uri="{C3380CC4-5D6E-409C-BE32-E72D297353CC}">
              <c16:uniqueId val="{00000004-8CE7-49E2-B60C-DF07C4BEAAF3}"/>
            </c:ext>
          </c:extLst>
        </c:ser>
        <c:ser>
          <c:idx val="5"/>
          <c:order val="5"/>
          <c:tx>
            <c:strRef>
              <c:f>'Xbar mR chart'!$AJ$2</c:f>
              <c:strCache>
                <c:ptCount val="1"/>
                <c:pt idx="0">
                  <c:v>+1 sigma</c:v>
                </c:pt>
              </c:strCache>
            </c:strRef>
          </c:tx>
          <c:spPr>
            <a:ln w="19050">
              <a:solidFill>
                <a:schemeClr val="bg1">
                  <a:lumMod val="85000"/>
                </a:schemeClr>
              </a:solidFill>
              <a:prstDash val="sysDash"/>
            </a:ln>
          </c:spPr>
          <c:marker>
            <c:symbol val="none"/>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chart'!$AJ$3:$AJ$19</c:f>
              <c:numCache>
                <c:formatCode>General</c:formatCode>
                <c:ptCount val="17"/>
                <c:pt idx="0">
                  <c:v>77.896157894736845</c:v>
                </c:pt>
                <c:pt idx="1">
                  <c:v>77.896157894736845</c:v>
                </c:pt>
                <c:pt idx="2">
                  <c:v>77.896157894736845</c:v>
                </c:pt>
                <c:pt idx="3">
                  <c:v>77.896157894736845</c:v>
                </c:pt>
                <c:pt idx="4">
                  <c:v>77.896157894736845</c:v>
                </c:pt>
                <c:pt idx="5">
                  <c:v>77.896157894736845</c:v>
                </c:pt>
                <c:pt idx="6">
                  <c:v>77.896157894736845</c:v>
                </c:pt>
                <c:pt idx="7">
                  <c:v>77.896157894736845</c:v>
                </c:pt>
                <c:pt idx="8">
                  <c:v>77.896157894736845</c:v>
                </c:pt>
                <c:pt idx="9">
                  <c:v>77.896157894736845</c:v>
                </c:pt>
                <c:pt idx="10">
                  <c:v>77.896157894736845</c:v>
                </c:pt>
                <c:pt idx="11">
                  <c:v>77.896157894736845</c:v>
                </c:pt>
                <c:pt idx="12">
                  <c:v>77.896157894736845</c:v>
                </c:pt>
                <c:pt idx="13">
                  <c:v>77.896157894736845</c:v>
                </c:pt>
                <c:pt idx="14">
                  <c:v>77.896157894736845</c:v>
                </c:pt>
                <c:pt idx="15">
                  <c:v>77.896157894736845</c:v>
                </c:pt>
                <c:pt idx="16">
                  <c:v>77.896157894736845</c:v>
                </c:pt>
              </c:numCache>
            </c:numRef>
          </c:val>
          <c:smooth val="0"/>
          <c:extLst>
            <c:ext xmlns:c16="http://schemas.microsoft.com/office/drawing/2014/chart" uri="{C3380CC4-5D6E-409C-BE32-E72D297353CC}">
              <c16:uniqueId val="{00000005-8CE7-49E2-B60C-DF07C4BEAAF3}"/>
            </c:ext>
          </c:extLst>
        </c:ser>
        <c:ser>
          <c:idx val="6"/>
          <c:order val="6"/>
          <c:tx>
            <c:strRef>
              <c:f>'Xbar mR chart'!$AK$2</c:f>
              <c:strCache>
                <c:ptCount val="1"/>
                <c:pt idx="0">
                  <c:v>+2 sigma</c:v>
                </c:pt>
              </c:strCache>
            </c:strRef>
          </c:tx>
          <c:spPr>
            <a:ln w="19050">
              <a:solidFill>
                <a:schemeClr val="bg1">
                  <a:lumMod val="85000"/>
                </a:schemeClr>
              </a:solidFill>
              <a:prstDash val="sysDash"/>
            </a:ln>
          </c:spPr>
          <c:marker>
            <c:symbol val="none"/>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chart'!$AK$3:$AK$19</c:f>
              <c:numCache>
                <c:formatCode>General</c:formatCode>
                <c:ptCount val="17"/>
                <c:pt idx="0">
                  <c:v>111.4238947368421</c:v>
                </c:pt>
                <c:pt idx="1">
                  <c:v>111.4238947368421</c:v>
                </c:pt>
                <c:pt idx="2">
                  <c:v>111.4238947368421</c:v>
                </c:pt>
                <c:pt idx="3">
                  <c:v>111.4238947368421</c:v>
                </c:pt>
                <c:pt idx="4">
                  <c:v>111.4238947368421</c:v>
                </c:pt>
                <c:pt idx="5">
                  <c:v>111.4238947368421</c:v>
                </c:pt>
                <c:pt idx="6">
                  <c:v>111.4238947368421</c:v>
                </c:pt>
                <c:pt idx="7">
                  <c:v>111.4238947368421</c:v>
                </c:pt>
                <c:pt idx="8">
                  <c:v>111.4238947368421</c:v>
                </c:pt>
                <c:pt idx="9">
                  <c:v>111.4238947368421</c:v>
                </c:pt>
                <c:pt idx="10">
                  <c:v>111.4238947368421</c:v>
                </c:pt>
                <c:pt idx="11">
                  <c:v>111.4238947368421</c:v>
                </c:pt>
                <c:pt idx="12">
                  <c:v>111.4238947368421</c:v>
                </c:pt>
                <c:pt idx="13">
                  <c:v>111.4238947368421</c:v>
                </c:pt>
                <c:pt idx="14">
                  <c:v>111.4238947368421</c:v>
                </c:pt>
                <c:pt idx="15">
                  <c:v>111.4238947368421</c:v>
                </c:pt>
                <c:pt idx="16">
                  <c:v>111.4238947368421</c:v>
                </c:pt>
              </c:numCache>
            </c:numRef>
          </c:val>
          <c:smooth val="0"/>
          <c:extLst>
            <c:ext xmlns:c16="http://schemas.microsoft.com/office/drawing/2014/chart" uri="{C3380CC4-5D6E-409C-BE32-E72D297353CC}">
              <c16:uniqueId val="{00000006-8CE7-49E2-B60C-DF07C4BEAAF3}"/>
            </c:ext>
          </c:extLst>
        </c:ser>
        <c:ser>
          <c:idx val="7"/>
          <c:order val="7"/>
          <c:tx>
            <c:strRef>
              <c:f>'Xbar mR chart'!$AL$2</c:f>
              <c:strCache>
                <c:ptCount val="1"/>
                <c:pt idx="0">
                  <c:v>UCL</c:v>
                </c:pt>
              </c:strCache>
            </c:strRef>
          </c:tx>
          <c:spPr>
            <a:ln w="19050">
              <a:solidFill>
                <a:srgbClr val="C00000"/>
              </a:solidFill>
              <a:prstDash val="dash"/>
            </a:ln>
          </c:spPr>
          <c:marker>
            <c:symbol val="none"/>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chart'!$AL$3:$AL$19</c:f>
              <c:numCache>
                <c:formatCode>General</c:formatCode>
                <c:ptCount val="17"/>
                <c:pt idx="0">
                  <c:v>144.95163157894737</c:v>
                </c:pt>
                <c:pt idx="1">
                  <c:v>144.95163157894737</c:v>
                </c:pt>
                <c:pt idx="2">
                  <c:v>144.95163157894737</c:v>
                </c:pt>
                <c:pt idx="3">
                  <c:v>144.95163157894737</c:v>
                </c:pt>
                <c:pt idx="4">
                  <c:v>144.95163157894737</c:v>
                </c:pt>
                <c:pt idx="5">
                  <c:v>144.95163157894737</c:v>
                </c:pt>
                <c:pt idx="6">
                  <c:v>144.95163157894737</c:v>
                </c:pt>
                <c:pt idx="7">
                  <c:v>144.95163157894737</c:v>
                </c:pt>
                <c:pt idx="8">
                  <c:v>144.95163157894737</c:v>
                </c:pt>
                <c:pt idx="9">
                  <c:v>144.95163157894737</c:v>
                </c:pt>
                <c:pt idx="10">
                  <c:v>144.95163157894737</c:v>
                </c:pt>
                <c:pt idx="11">
                  <c:v>144.95163157894737</c:v>
                </c:pt>
                <c:pt idx="12">
                  <c:v>144.95163157894737</c:v>
                </c:pt>
                <c:pt idx="13">
                  <c:v>144.95163157894737</c:v>
                </c:pt>
                <c:pt idx="14">
                  <c:v>144.95163157894737</c:v>
                </c:pt>
                <c:pt idx="15">
                  <c:v>144.95163157894737</c:v>
                </c:pt>
                <c:pt idx="16">
                  <c:v>144.95163157894737</c:v>
                </c:pt>
              </c:numCache>
            </c:numRef>
          </c:val>
          <c:smooth val="0"/>
          <c:extLst>
            <c:ext xmlns:c16="http://schemas.microsoft.com/office/drawing/2014/chart" uri="{C3380CC4-5D6E-409C-BE32-E72D297353CC}">
              <c16:uniqueId val="{00000007-8CE7-49E2-B60C-DF07C4BEAAF3}"/>
            </c:ext>
          </c:extLst>
        </c:ser>
        <c:ser>
          <c:idx val="8"/>
          <c:order val="8"/>
          <c:tx>
            <c:strRef>
              <c:f>'Xbar mR chart'!$AM$2</c:f>
              <c:strCache>
                <c:ptCount val="1"/>
                <c:pt idx="0">
                  <c:v>test1</c:v>
                </c:pt>
              </c:strCache>
            </c:strRef>
          </c:tx>
          <c:spPr>
            <a:ln>
              <a:noFill/>
            </a:ln>
          </c:spPr>
          <c:marker>
            <c:symbol val="circle"/>
            <c:size val="7"/>
            <c:spPr>
              <a:solidFill>
                <a:srgbClr val="FF0000"/>
              </a:solidFill>
              <a:ln>
                <a:solidFill>
                  <a:schemeClr val="tx1"/>
                </a:solidFill>
              </a:ln>
            </c:spPr>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chart'!$AM$3:$AM$19</c:f>
              <c:numCache>
                <c:formatCode>General</c:formatCode>
                <c:ptCount val="17"/>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numCache>
            </c:numRef>
          </c:val>
          <c:smooth val="0"/>
          <c:extLst>
            <c:ext xmlns:c16="http://schemas.microsoft.com/office/drawing/2014/chart" uri="{C3380CC4-5D6E-409C-BE32-E72D297353CC}">
              <c16:uniqueId val="{00000008-8CE7-49E2-B60C-DF07C4BEAAF3}"/>
            </c:ext>
          </c:extLst>
        </c:ser>
        <c:ser>
          <c:idx val="9"/>
          <c:order val="9"/>
          <c:tx>
            <c:strRef>
              <c:f>'Xbar mR chart'!$AN$2</c:f>
              <c:strCache>
                <c:ptCount val="1"/>
                <c:pt idx="0">
                  <c:v>test2</c:v>
                </c:pt>
              </c:strCache>
            </c:strRef>
          </c:tx>
          <c:spPr>
            <a:ln>
              <a:noFill/>
            </a:ln>
          </c:spPr>
          <c:marker>
            <c:symbol val="diamond"/>
            <c:size val="7"/>
            <c:spPr>
              <a:solidFill>
                <a:srgbClr val="FF0000"/>
              </a:solidFill>
              <a:ln>
                <a:solidFill>
                  <a:schemeClr val="tx1"/>
                </a:solidFill>
              </a:ln>
            </c:spPr>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chart'!$AN$3:$AN$19</c:f>
              <c:numCache>
                <c:formatCode>General</c:formatCode>
                <c:ptCount val="17"/>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numCache>
            </c:numRef>
          </c:val>
          <c:smooth val="0"/>
          <c:extLst>
            <c:ext xmlns:c16="http://schemas.microsoft.com/office/drawing/2014/chart" uri="{C3380CC4-5D6E-409C-BE32-E72D297353CC}">
              <c16:uniqueId val="{00000009-8CE7-49E2-B60C-DF07C4BEAAF3}"/>
            </c:ext>
          </c:extLst>
        </c:ser>
        <c:ser>
          <c:idx val="10"/>
          <c:order val="10"/>
          <c:tx>
            <c:strRef>
              <c:f>'Xbar mR chart'!$AO$2</c:f>
              <c:strCache>
                <c:ptCount val="1"/>
                <c:pt idx="0">
                  <c:v>test 3</c:v>
                </c:pt>
              </c:strCache>
            </c:strRef>
          </c:tx>
          <c:spPr>
            <a:ln>
              <a:noFill/>
            </a:ln>
          </c:spPr>
          <c:marker>
            <c:symbol val="square"/>
            <c:size val="7"/>
            <c:spPr>
              <a:solidFill>
                <a:srgbClr val="FF0000"/>
              </a:solidFill>
              <a:ln>
                <a:solidFill>
                  <a:schemeClr val="tx1"/>
                </a:solidFill>
              </a:ln>
            </c:spPr>
          </c:marker>
          <c:cat>
            <c:numRef>
              <c:f>'Xbar mR chart'!$A$3:$A$21</c:f>
              <c:numCache>
                <c:formatCode>d\-mmm</c:formatCode>
                <c:ptCount val="19"/>
                <c:pt idx="0">
                  <c:v>44593</c:v>
                </c:pt>
                <c:pt idx="1">
                  <c:v>44594</c:v>
                </c:pt>
                <c:pt idx="2">
                  <c:v>44595</c:v>
                </c:pt>
                <c:pt idx="3">
                  <c:v>44596</c:v>
                </c:pt>
                <c:pt idx="4">
                  <c:v>44597</c:v>
                </c:pt>
                <c:pt idx="5">
                  <c:v>44598</c:v>
                </c:pt>
                <c:pt idx="6">
                  <c:v>44599</c:v>
                </c:pt>
                <c:pt idx="7">
                  <c:v>44600</c:v>
                </c:pt>
                <c:pt idx="8">
                  <c:v>44601</c:v>
                </c:pt>
                <c:pt idx="9">
                  <c:v>44602</c:v>
                </c:pt>
                <c:pt idx="10">
                  <c:v>44603</c:v>
                </c:pt>
                <c:pt idx="11">
                  <c:v>44604</c:v>
                </c:pt>
                <c:pt idx="12">
                  <c:v>44605</c:v>
                </c:pt>
                <c:pt idx="13">
                  <c:v>44606</c:v>
                </c:pt>
                <c:pt idx="14">
                  <c:v>44607</c:v>
                </c:pt>
                <c:pt idx="15">
                  <c:v>44608</c:v>
                </c:pt>
                <c:pt idx="16">
                  <c:v>44609</c:v>
                </c:pt>
                <c:pt idx="17">
                  <c:v>44610</c:v>
                </c:pt>
                <c:pt idx="18">
                  <c:v>44611</c:v>
                </c:pt>
              </c:numCache>
            </c:numRef>
          </c:cat>
          <c:val>
            <c:numRef>
              <c:f>'Xbar mR chart'!$AO$3:$AO$19</c:f>
              <c:numCache>
                <c:formatCode>General</c:formatCode>
                <c:ptCount val="17"/>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numCache>
            </c:numRef>
          </c:val>
          <c:smooth val="0"/>
          <c:extLst>
            <c:ext xmlns:c16="http://schemas.microsoft.com/office/drawing/2014/chart" uri="{C3380CC4-5D6E-409C-BE32-E72D297353CC}">
              <c16:uniqueId val="{0000000A-8CE7-49E2-B60C-DF07C4BEAAF3}"/>
            </c:ext>
          </c:extLst>
        </c:ser>
        <c:dLbls>
          <c:showLegendKey val="0"/>
          <c:showVal val="0"/>
          <c:showCatName val="0"/>
          <c:showSerName val="0"/>
          <c:showPercent val="0"/>
          <c:showBubbleSize val="0"/>
        </c:dLbls>
        <c:marker val="1"/>
        <c:smooth val="0"/>
        <c:axId val="667871032"/>
        <c:axId val="667879264"/>
      </c:lineChart>
      <c:dateAx>
        <c:axId val="667871032"/>
        <c:scaling>
          <c:orientation val="minMax"/>
        </c:scaling>
        <c:delete val="0"/>
        <c:axPos val="b"/>
        <c:numFmt formatCode="d\-mmm" sourceLinked="1"/>
        <c:majorTickMark val="out"/>
        <c:minorTickMark val="none"/>
        <c:tickLblPos val="nextTo"/>
        <c:crossAx val="667879264"/>
        <c:crosses val="autoZero"/>
        <c:auto val="1"/>
        <c:lblOffset val="100"/>
        <c:baseTimeUnit val="days"/>
      </c:dateAx>
      <c:valAx>
        <c:axId val="667879264"/>
        <c:scaling>
          <c:orientation val="minMax"/>
          <c:min val="0"/>
        </c:scaling>
        <c:delete val="0"/>
        <c:axPos val="l"/>
        <c:title>
          <c:tx>
            <c:strRef>
              <c:f>'Xbar mR chart'!$B$2</c:f>
              <c:strCache>
                <c:ptCount val="1"/>
                <c:pt idx="0">
                  <c:v> Xbar Measure </c:v>
                </c:pt>
              </c:strCache>
            </c:strRef>
          </c:tx>
          <c:layout>
            <c:manualLayout>
              <c:xMode val="edge"/>
              <c:yMode val="edge"/>
              <c:x val="1.6880777989393921E-2"/>
              <c:y val="0.28920940625665037"/>
            </c:manualLayout>
          </c:layout>
          <c:overlay val="0"/>
          <c:txPr>
            <a:bodyPr rot="-5400000" vert="horz"/>
            <a:lstStyle/>
            <a:p>
              <a:pPr>
                <a:defRPr/>
              </a:pPr>
              <a:endParaRPr lang="en-US"/>
            </a:p>
          </c:txPr>
        </c:title>
        <c:numFmt formatCode="General" sourceLinked="1"/>
        <c:majorTickMark val="out"/>
        <c:minorTickMark val="none"/>
        <c:tickLblPos val="nextTo"/>
        <c:crossAx val="667871032"/>
        <c:crosses val="autoZero"/>
        <c:crossBetween val="between"/>
      </c:valAx>
    </c:plotArea>
    <c:plotVisOnly val="1"/>
    <c:dispBlanksAs val="gap"/>
    <c:showDLblsOverMax val="0"/>
  </c:chart>
  <c:spPr>
    <a:ln>
      <a:noFill/>
    </a:ln>
  </c:spPr>
  <c:txPr>
    <a:bodyPr/>
    <a:lstStyle/>
    <a:p>
      <a:pPr>
        <a:defRPr>
          <a:latin typeface="+mn-lt"/>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 Test'!$E$16</c:f>
          <c:strCache>
            <c:ptCount val="1"/>
            <c:pt idx="0">
              <c:v>Graph Title</c:v>
            </c:pt>
          </c:strCache>
        </c:strRef>
      </c:tx>
      <c:overlay val="0"/>
      <c:txPr>
        <a:bodyPr/>
        <a:lstStyle/>
        <a:p>
          <a:pPr>
            <a:defRPr sz="1400"/>
          </a:pPr>
          <a:endParaRPr lang="en-US"/>
        </a:p>
      </c:txPr>
    </c:title>
    <c:autoTitleDeleted val="0"/>
    <c:plotArea>
      <c:layout>
        <c:manualLayout>
          <c:layoutTarget val="inner"/>
          <c:xMode val="edge"/>
          <c:yMode val="edge"/>
          <c:x val="7.1988407699037624E-2"/>
          <c:y val="0.16251166520851543"/>
          <c:w val="0.80508157727370599"/>
          <c:h val="0.72150845727617441"/>
        </c:manualLayout>
      </c:layout>
      <c:lineChart>
        <c:grouping val="standard"/>
        <c:varyColors val="0"/>
        <c:ser>
          <c:idx val="0"/>
          <c:order val="0"/>
          <c:tx>
            <c:strRef>
              <c:f>'F Test'!$E$17</c:f>
              <c:strCache>
                <c:ptCount val="1"/>
                <c:pt idx="0">
                  <c:v>Lower Quintile</c:v>
                </c:pt>
              </c:strCache>
            </c:strRef>
          </c:tx>
          <c:spPr>
            <a:ln>
              <a:noFill/>
            </a:ln>
          </c:spPr>
          <c:marker>
            <c:symbol val="none"/>
          </c:marker>
          <c:cat>
            <c:strRef>
              <c:f>'F Test'!$B$3:$C$3</c:f>
              <c:strCache>
                <c:ptCount val="2"/>
                <c:pt idx="0">
                  <c:v>CallType A</c:v>
                </c:pt>
                <c:pt idx="1">
                  <c:v>Call Type B</c:v>
                </c:pt>
              </c:strCache>
            </c:strRef>
          </c:cat>
          <c:val>
            <c:numRef>
              <c:f>'F Test'!$F$17:$G$17</c:f>
              <c:numCache>
                <c:formatCode>General</c:formatCode>
                <c:ptCount val="2"/>
                <c:pt idx="0">
                  <c:v>20</c:v>
                </c:pt>
                <c:pt idx="1">
                  <c:v>20.407499999999999</c:v>
                </c:pt>
              </c:numCache>
            </c:numRef>
          </c:val>
          <c:smooth val="0"/>
          <c:extLst>
            <c:ext xmlns:c16="http://schemas.microsoft.com/office/drawing/2014/chart" uri="{C3380CC4-5D6E-409C-BE32-E72D297353CC}">
              <c16:uniqueId val="{00000000-D4C4-214F-9E09-F5FFD0E6D3A4}"/>
            </c:ext>
          </c:extLst>
        </c:ser>
        <c:ser>
          <c:idx val="1"/>
          <c:order val="1"/>
          <c:tx>
            <c:strRef>
              <c:f>'F Test'!$E$18</c:f>
              <c:strCache>
                <c:ptCount val="1"/>
                <c:pt idx="0">
                  <c:v>Min</c:v>
                </c:pt>
              </c:strCache>
            </c:strRef>
          </c:tx>
          <c:spPr>
            <a:ln>
              <a:noFill/>
            </a:ln>
          </c:spPr>
          <c:marker>
            <c:symbol val="dash"/>
            <c:size val="11"/>
            <c:spPr>
              <a:solidFill>
                <a:schemeClr val="tx1"/>
              </a:solidFill>
              <a:ln>
                <a:solidFill>
                  <a:schemeClr val="tx1"/>
                </a:solidFill>
              </a:ln>
            </c:spPr>
          </c:marker>
          <c:cat>
            <c:strRef>
              <c:f>'F Test'!$B$3:$C$3</c:f>
              <c:strCache>
                <c:ptCount val="2"/>
                <c:pt idx="0">
                  <c:v>CallType A</c:v>
                </c:pt>
                <c:pt idx="1">
                  <c:v>Call Type B</c:v>
                </c:pt>
              </c:strCache>
            </c:strRef>
          </c:cat>
          <c:val>
            <c:numRef>
              <c:f>'F Test'!$F$18:$G$18</c:f>
              <c:numCache>
                <c:formatCode>General</c:formatCode>
                <c:ptCount val="2"/>
                <c:pt idx="0">
                  <c:v>16.940000000000001</c:v>
                </c:pt>
                <c:pt idx="1">
                  <c:v>16.57</c:v>
                </c:pt>
              </c:numCache>
            </c:numRef>
          </c:val>
          <c:smooth val="0"/>
          <c:extLst>
            <c:ext xmlns:c16="http://schemas.microsoft.com/office/drawing/2014/chart" uri="{C3380CC4-5D6E-409C-BE32-E72D297353CC}">
              <c16:uniqueId val="{00000001-D4C4-214F-9E09-F5FFD0E6D3A4}"/>
            </c:ext>
          </c:extLst>
        </c:ser>
        <c:ser>
          <c:idx val="2"/>
          <c:order val="2"/>
          <c:tx>
            <c:strRef>
              <c:f>'F Test'!$E$19</c:f>
              <c:strCache>
                <c:ptCount val="1"/>
                <c:pt idx="0">
                  <c:v>Median</c:v>
                </c:pt>
              </c:strCache>
            </c:strRef>
          </c:tx>
          <c:spPr>
            <a:ln>
              <a:noFill/>
            </a:ln>
          </c:spPr>
          <c:marker>
            <c:symbol val="circle"/>
            <c:size val="7"/>
            <c:spPr>
              <a:solidFill>
                <a:srgbClr val="FF0000"/>
              </a:solidFill>
              <a:ln>
                <a:solidFill>
                  <a:srgbClr val="FF0000"/>
                </a:solidFill>
              </a:ln>
            </c:spPr>
          </c:marker>
          <c:cat>
            <c:strRef>
              <c:f>'F Test'!$B$3:$C$3</c:f>
              <c:strCache>
                <c:ptCount val="2"/>
                <c:pt idx="0">
                  <c:v>CallType A</c:v>
                </c:pt>
                <c:pt idx="1">
                  <c:v>Call Type B</c:v>
                </c:pt>
              </c:strCache>
            </c:strRef>
          </c:cat>
          <c:val>
            <c:numRef>
              <c:f>'F Test'!$F$19:$G$19</c:f>
              <c:numCache>
                <c:formatCode>General</c:formatCode>
                <c:ptCount val="2"/>
                <c:pt idx="0">
                  <c:v>21.4</c:v>
                </c:pt>
                <c:pt idx="1">
                  <c:v>21.759999999999998</c:v>
                </c:pt>
              </c:numCache>
            </c:numRef>
          </c:val>
          <c:smooth val="0"/>
          <c:extLst>
            <c:ext xmlns:c16="http://schemas.microsoft.com/office/drawing/2014/chart" uri="{C3380CC4-5D6E-409C-BE32-E72D297353CC}">
              <c16:uniqueId val="{00000002-D4C4-214F-9E09-F5FFD0E6D3A4}"/>
            </c:ext>
          </c:extLst>
        </c:ser>
        <c:ser>
          <c:idx val="3"/>
          <c:order val="3"/>
          <c:tx>
            <c:strRef>
              <c:f>'F Test'!$E$20</c:f>
              <c:strCache>
                <c:ptCount val="1"/>
                <c:pt idx="0">
                  <c:v>Max</c:v>
                </c:pt>
              </c:strCache>
            </c:strRef>
          </c:tx>
          <c:spPr>
            <a:ln>
              <a:noFill/>
            </a:ln>
          </c:spPr>
          <c:marker>
            <c:symbol val="dash"/>
            <c:size val="11"/>
            <c:spPr>
              <a:solidFill>
                <a:schemeClr val="tx1"/>
              </a:solidFill>
              <a:ln>
                <a:solidFill>
                  <a:schemeClr val="tx1"/>
                </a:solidFill>
              </a:ln>
            </c:spPr>
          </c:marker>
          <c:cat>
            <c:strRef>
              <c:f>'F Test'!$B$3:$C$3</c:f>
              <c:strCache>
                <c:ptCount val="2"/>
                <c:pt idx="0">
                  <c:v>CallType A</c:v>
                </c:pt>
                <c:pt idx="1">
                  <c:v>Call Type B</c:v>
                </c:pt>
              </c:strCache>
            </c:strRef>
          </c:cat>
          <c:val>
            <c:numRef>
              <c:f>'F Test'!$F$20:$G$20</c:f>
              <c:numCache>
                <c:formatCode>General</c:formatCode>
                <c:ptCount val="2"/>
                <c:pt idx="0">
                  <c:v>26.34</c:v>
                </c:pt>
                <c:pt idx="1">
                  <c:v>27.15</c:v>
                </c:pt>
              </c:numCache>
            </c:numRef>
          </c:val>
          <c:smooth val="0"/>
          <c:extLst>
            <c:ext xmlns:c16="http://schemas.microsoft.com/office/drawing/2014/chart" uri="{C3380CC4-5D6E-409C-BE32-E72D297353CC}">
              <c16:uniqueId val="{00000003-D4C4-214F-9E09-F5FFD0E6D3A4}"/>
            </c:ext>
          </c:extLst>
        </c:ser>
        <c:ser>
          <c:idx val="4"/>
          <c:order val="4"/>
          <c:tx>
            <c:strRef>
              <c:f>'F Test'!$E$21</c:f>
              <c:strCache>
                <c:ptCount val="1"/>
                <c:pt idx="0">
                  <c:v>Upper Quartile</c:v>
                </c:pt>
              </c:strCache>
            </c:strRef>
          </c:tx>
          <c:spPr>
            <a:ln>
              <a:noFill/>
            </a:ln>
          </c:spPr>
          <c:marker>
            <c:symbol val="none"/>
          </c:marker>
          <c:cat>
            <c:strRef>
              <c:f>'F Test'!$B$3:$C$3</c:f>
              <c:strCache>
                <c:ptCount val="2"/>
                <c:pt idx="0">
                  <c:v>CallType A</c:v>
                </c:pt>
                <c:pt idx="1">
                  <c:v>Call Type B</c:v>
                </c:pt>
              </c:strCache>
            </c:strRef>
          </c:cat>
          <c:val>
            <c:numRef>
              <c:f>'F Test'!$F$21:$G$21</c:f>
              <c:numCache>
                <c:formatCode>General</c:formatCode>
                <c:ptCount val="2"/>
                <c:pt idx="0">
                  <c:v>23.67</c:v>
                </c:pt>
                <c:pt idx="1">
                  <c:v>23.177499999999998</c:v>
                </c:pt>
              </c:numCache>
            </c:numRef>
          </c:val>
          <c:smooth val="0"/>
          <c:extLst>
            <c:ext xmlns:c16="http://schemas.microsoft.com/office/drawing/2014/chart" uri="{C3380CC4-5D6E-409C-BE32-E72D297353CC}">
              <c16:uniqueId val="{00000004-D4C4-214F-9E09-F5FFD0E6D3A4}"/>
            </c:ext>
          </c:extLst>
        </c:ser>
        <c:dLbls>
          <c:showLegendKey val="0"/>
          <c:showVal val="0"/>
          <c:showCatName val="0"/>
          <c:showSerName val="0"/>
          <c:showPercent val="0"/>
          <c:showBubbleSize val="0"/>
        </c:dLbls>
        <c:hiLowLines/>
        <c:upDownBars>
          <c:gapWidth val="150"/>
          <c:upBars/>
          <c:downBars/>
        </c:upDownBars>
        <c:smooth val="0"/>
        <c:axId val="780681896"/>
        <c:axId val="780679936"/>
      </c:lineChart>
      <c:catAx>
        <c:axId val="780681896"/>
        <c:scaling>
          <c:orientation val="minMax"/>
        </c:scaling>
        <c:delete val="0"/>
        <c:axPos val="b"/>
        <c:numFmt formatCode="General" sourceLinked="0"/>
        <c:majorTickMark val="out"/>
        <c:minorTickMark val="none"/>
        <c:tickLblPos val="nextTo"/>
        <c:crossAx val="780679936"/>
        <c:crosses val="autoZero"/>
        <c:auto val="1"/>
        <c:lblAlgn val="ctr"/>
        <c:lblOffset val="100"/>
        <c:noMultiLvlLbl val="0"/>
      </c:catAx>
      <c:valAx>
        <c:axId val="780679936"/>
        <c:scaling>
          <c:orientation val="minMax"/>
        </c:scaling>
        <c:delete val="0"/>
        <c:axPos val="l"/>
        <c:majorGridlines/>
        <c:numFmt formatCode="General" sourceLinked="1"/>
        <c:majorTickMark val="out"/>
        <c:minorTickMark val="none"/>
        <c:tickLblPos val="nextTo"/>
        <c:crossAx val="780681896"/>
        <c:crosses val="autoZero"/>
        <c:crossBetween val="between"/>
      </c:valAx>
    </c:plotArea>
    <c:legend>
      <c:legendPos val="r"/>
      <c:legendEntry>
        <c:idx val="0"/>
        <c:delete val="1"/>
      </c:legendEntry>
      <c:legendEntry>
        <c:idx val="1"/>
        <c:delete val="1"/>
      </c:legendEntry>
      <c:legendEntry>
        <c:idx val="3"/>
        <c:delete val="1"/>
      </c:legendEntry>
      <c:legendEntry>
        <c:idx val="4"/>
        <c:delete val="1"/>
      </c:legendEntry>
      <c:layout>
        <c:manualLayout>
          <c:xMode val="edge"/>
          <c:yMode val="edge"/>
          <c:x val="0.55314655637126742"/>
          <c:y val="6.918852384831202E-2"/>
          <c:w val="0.44220416596861561"/>
          <c:h val="8.3717191601049915E-2"/>
        </c:manualLayout>
      </c:layout>
      <c:overlay val="0"/>
    </c:legend>
    <c:plotVisOnly val="1"/>
    <c:dispBlanksAs val="gap"/>
    <c:showDLblsOverMax val="0"/>
  </c:chart>
  <c:txPr>
    <a:bodyPr/>
    <a:lstStyle/>
    <a:p>
      <a:pPr>
        <a:defRPr>
          <a:latin typeface="+mn-lt"/>
        </a:defRPr>
      </a:pPr>
      <a:endParaRPr lang="en-US"/>
    </a:p>
  </c:txPr>
  <c:printSettings>
    <c:headerFooter/>
    <c:pageMargins b="0.75000000000000033" l="0.70000000000000029" r="0.70000000000000029" t="0.75000000000000033" header="0.30000000000000016" footer="0.30000000000000016"/>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'2 sample t test'!$K$3:$M$3</c:f>
          <c:strCache>
            <c:ptCount val="3"/>
            <c:pt idx="0">
              <c:v>Box Plot title</c:v>
            </c:pt>
          </c:strCache>
        </c:strRef>
      </c:tx>
      <c:overlay val="0"/>
      <c:txPr>
        <a:bodyPr/>
        <a:lstStyle/>
        <a:p>
          <a:pPr>
            <a:defRPr sz="1400"/>
          </a:pPr>
          <a:endParaRPr lang="en-US"/>
        </a:p>
      </c:txPr>
    </c:title>
    <c:autoTitleDeleted val="0"/>
    <c:plotArea>
      <c:layout>
        <c:manualLayout>
          <c:layoutTarget val="inner"/>
          <c:xMode val="edge"/>
          <c:yMode val="edge"/>
          <c:x val="7.1988407699037624E-2"/>
          <c:y val="0.16251166520851543"/>
          <c:w val="0.80508157727370599"/>
          <c:h val="0.72150845727617441"/>
        </c:manualLayout>
      </c:layout>
      <c:lineChart>
        <c:grouping val="standard"/>
        <c:varyColors val="0"/>
        <c:ser>
          <c:idx val="0"/>
          <c:order val="0"/>
          <c:tx>
            <c:strRef>
              <c:f>'2 sample t test'!$K$4</c:f>
              <c:strCache>
                <c:ptCount val="1"/>
                <c:pt idx="0">
                  <c:v>Lower Quintile</c:v>
                </c:pt>
              </c:strCache>
            </c:strRef>
          </c:tx>
          <c:spPr>
            <a:ln>
              <a:noFill/>
            </a:ln>
          </c:spPr>
          <c:marker>
            <c:symbol val="none"/>
          </c:marker>
          <c:cat>
            <c:strRef>
              <c:f>'2 sample t test'!$B$3:$C$3</c:f>
              <c:strCache>
                <c:ptCount val="2"/>
                <c:pt idx="0">
                  <c:v>Call Type A</c:v>
                </c:pt>
                <c:pt idx="1">
                  <c:v>Call type B</c:v>
                </c:pt>
              </c:strCache>
            </c:strRef>
          </c:cat>
          <c:val>
            <c:numRef>
              <c:f>'2 sample t test'!$L$4:$M$4</c:f>
              <c:numCache>
                <c:formatCode>_-* #,##0.00_-;\-* #,##0.00_-;_-* "-"??_-;_-@_-</c:formatCode>
                <c:ptCount val="2"/>
                <c:pt idx="0">
                  <c:v>20</c:v>
                </c:pt>
                <c:pt idx="1">
                  <c:v>20.407499999999999</c:v>
                </c:pt>
              </c:numCache>
            </c:numRef>
          </c:val>
          <c:smooth val="0"/>
          <c:extLst>
            <c:ext xmlns:c16="http://schemas.microsoft.com/office/drawing/2014/chart" uri="{C3380CC4-5D6E-409C-BE32-E72D297353CC}">
              <c16:uniqueId val="{00000000-EE5F-3B49-B701-95EF39589B43}"/>
            </c:ext>
          </c:extLst>
        </c:ser>
        <c:ser>
          <c:idx val="1"/>
          <c:order val="1"/>
          <c:tx>
            <c:strRef>
              <c:f>'2 sample t test'!$K$5</c:f>
              <c:strCache>
                <c:ptCount val="1"/>
                <c:pt idx="0">
                  <c:v>Min</c:v>
                </c:pt>
              </c:strCache>
            </c:strRef>
          </c:tx>
          <c:spPr>
            <a:ln>
              <a:noFill/>
            </a:ln>
          </c:spPr>
          <c:marker>
            <c:symbol val="dash"/>
            <c:size val="11"/>
            <c:spPr>
              <a:solidFill>
                <a:schemeClr val="tx1"/>
              </a:solidFill>
              <a:ln>
                <a:solidFill>
                  <a:schemeClr val="tx1"/>
                </a:solidFill>
              </a:ln>
            </c:spPr>
          </c:marker>
          <c:cat>
            <c:strRef>
              <c:f>'2 sample t test'!$B$3:$C$3</c:f>
              <c:strCache>
                <c:ptCount val="2"/>
                <c:pt idx="0">
                  <c:v>Call Type A</c:v>
                </c:pt>
                <c:pt idx="1">
                  <c:v>Call type B</c:v>
                </c:pt>
              </c:strCache>
            </c:strRef>
          </c:cat>
          <c:val>
            <c:numRef>
              <c:f>'2 sample t test'!$L$5:$M$5</c:f>
              <c:numCache>
                <c:formatCode>_-* #,##0.00_-;\-* #,##0.00_-;_-* "-"??_-;_-@_-</c:formatCode>
                <c:ptCount val="2"/>
                <c:pt idx="0">
                  <c:v>16.940000000000001</c:v>
                </c:pt>
                <c:pt idx="1">
                  <c:v>16.57</c:v>
                </c:pt>
              </c:numCache>
            </c:numRef>
          </c:val>
          <c:smooth val="0"/>
          <c:extLst>
            <c:ext xmlns:c16="http://schemas.microsoft.com/office/drawing/2014/chart" uri="{C3380CC4-5D6E-409C-BE32-E72D297353CC}">
              <c16:uniqueId val="{00000001-EE5F-3B49-B701-95EF39589B43}"/>
            </c:ext>
          </c:extLst>
        </c:ser>
        <c:ser>
          <c:idx val="2"/>
          <c:order val="2"/>
          <c:tx>
            <c:strRef>
              <c:f>'2 sample t test'!$K$6</c:f>
              <c:strCache>
                <c:ptCount val="1"/>
                <c:pt idx="0">
                  <c:v>Median</c:v>
                </c:pt>
              </c:strCache>
            </c:strRef>
          </c:tx>
          <c:spPr>
            <a:ln>
              <a:noFill/>
            </a:ln>
          </c:spPr>
          <c:marker>
            <c:symbol val="circle"/>
            <c:size val="7"/>
            <c:spPr>
              <a:solidFill>
                <a:srgbClr val="FF0000"/>
              </a:solidFill>
              <a:ln>
                <a:solidFill>
                  <a:srgbClr val="FF0000"/>
                </a:solidFill>
              </a:ln>
            </c:spPr>
          </c:marker>
          <c:cat>
            <c:strRef>
              <c:f>'2 sample t test'!$B$3:$C$3</c:f>
              <c:strCache>
                <c:ptCount val="2"/>
                <c:pt idx="0">
                  <c:v>Call Type A</c:v>
                </c:pt>
                <c:pt idx="1">
                  <c:v>Call type B</c:v>
                </c:pt>
              </c:strCache>
            </c:strRef>
          </c:cat>
          <c:val>
            <c:numRef>
              <c:f>'2 sample t test'!$L$6:$M$6</c:f>
              <c:numCache>
                <c:formatCode>_-* #,##0.00_-;\-* #,##0.00_-;_-* "-"??_-;_-@_-</c:formatCode>
                <c:ptCount val="2"/>
                <c:pt idx="0">
                  <c:v>21.4</c:v>
                </c:pt>
                <c:pt idx="1">
                  <c:v>21.759999999999998</c:v>
                </c:pt>
              </c:numCache>
            </c:numRef>
          </c:val>
          <c:smooth val="0"/>
          <c:extLst>
            <c:ext xmlns:c16="http://schemas.microsoft.com/office/drawing/2014/chart" uri="{C3380CC4-5D6E-409C-BE32-E72D297353CC}">
              <c16:uniqueId val="{00000002-EE5F-3B49-B701-95EF39589B43}"/>
            </c:ext>
          </c:extLst>
        </c:ser>
        <c:ser>
          <c:idx val="3"/>
          <c:order val="3"/>
          <c:tx>
            <c:strRef>
              <c:f>'2 sample t test'!$K$7</c:f>
              <c:strCache>
                <c:ptCount val="1"/>
                <c:pt idx="0">
                  <c:v>Max</c:v>
                </c:pt>
              </c:strCache>
            </c:strRef>
          </c:tx>
          <c:spPr>
            <a:ln>
              <a:noFill/>
            </a:ln>
          </c:spPr>
          <c:marker>
            <c:symbol val="dash"/>
            <c:size val="11"/>
            <c:spPr>
              <a:solidFill>
                <a:schemeClr val="tx1"/>
              </a:solidFill>
              <a:ln>
                <a:solidFill>
                  <a:schemeClr val="tx1"/>
                </a:solidFill>
              </a:ln>
            </c:spPr>
          </c:marker>
          <c:cat>
            <c:strRef>
              <c:f>'2 sample t test'!$B$3:$C$3</c:f>
              <c:strCache>
                <c:ptCount val="2"/>
                <c:pt idx="0">
                  <c:v>Call Type A</c:v>
                </c:pt>
                <c:pt idx="1">
                  <c:v>Call type B</c:v>
                </c:pt>
              </c:strCache>
            </c:strRef>
          </c:cat>
          <c:val>
            <c:numRef>
              <c:f>'2 sample t test'!$L$7:$M$7</c:f>
              <c:numCache>
                <c:formatCode>_-* #,##0.00_-;\-* #,##0.00_-;_-* "-"??_-;_-@_-</c:formatCode>
                <c:ptCount val="2"/>
                <c:pt idx="0">
                  <c:v>26.34</c:v>
                </c:pt>
                <c:pt idx="1">
                  <c:v>27.15</c:v>
                </c:pt>
              </c:numCache>
            </c:numRef>
          </c:val>
          <c:smooth val="0"/>
          <c:extLst>
            <c:ext xmlns:c16="http://schemas.microsoft.com/office/drawing/2014/chart" uri="{C3380CC4-5D6E-409C-BE32-E72D297353CC}">
              <c16:uniqueId val="{00000003-EE5F-3B49-B701-95EF39589B43}"/>
            </c:ext>
          </c:extLst>
        </c:ser>
        <c:ser>
          <c:idx val="4"/>
          <c:order val="4"/>
          <c:tx>
            <c:strRef>
              <c:f>'2 sample t test'!$K$8</c:f>
              <c:strCache>
                <c:ptCount val="1"/>
                <c:pt idx="0">
                  <c:v>Upper Quartile</c:v>
                </c:pt>
              </c:strCache>
            </c:strRef>
          </c:tx>
          <c:spPr>
            <a:ln>
              <a:noFill/>
            </a:ln>
          </c:spPr>
          <c:marker>
            <c:symbol val="none"/>
          </c:marker>
          <c:cat>
            <c:strRef>
              <c:f>'2 sample t test'!$B$3:$C$3</c:f>
              <c:strCache>
                <c:ptCount val="2"/>
                <c:pt idx="0">
                  <c:v>Call Type A</c:v>
                </c:pt>
                <c:pt idx="1">
                  <c:v>Call type B</c:v>
                </c:pt>
              </c:strCache>
            </c:strRef>
          </c:cat>
          <c:val>
            <c:numRef>
              <c:f>'2 sample t test'!$L$8:$M$8</c:f>
              <c:numCache>
                <c:formatCode>_-* #,##0.00_-;\-* #,##0.00_-;_-* "-"??_-;_-@_-</c:formatCode>
                <c:ptCount val="2"/>
                <c:pt idx="0">
                  <c:v>23.67</c:v>
                </c:pt>
                <c:pt idx="1">
                  <c:v>23.177499999999998</c:v>
                </c:pt>
              </c:numCache>
            </c:numRef>
          </c:val>
          <c:smooth val="0"/>
          <c:extLst>
            <c:ext xmlns:c16="http://schemas.microsoft.com/office/drawing/2014/chart" uri="{C3380CC4-5D6E-409C-BE32-E72D297353CC}">
              <c16:uniqueId val="{00000004-EE5F-3B49-B701-95EF39589B43}"/>
            </c:ext>
          </c:extLst>
        </c:ser>
        <c:dLbls>
          <c:showLegendKey val="0"/>
          <c:showVal val="0"/>
          <c:showCatName val="0"/>
          <c:showSerName val="0"/>
          <c:showPercent val="0"/>
          <c:showBubbleSize val="0"/>
        </c:dLbls>
        <c:hiLowLines/>
        <c:upDownBars>
          <c:gapWidth val="150"/>
          <c:upBars/>
          <c:downBars/>
        </c:upDownBars>
        <c:smooth val="0"/>
        <c:axId val="780687384"/>
        <c:axId val="780687776"/>
      </c:lineChart>
      <c:catAx>
        <c:axId val="780687384"/>
        <c:scaling>
          <c:orientation val="minMax"/>
        </c:scaling>
        <c:delete val="0"/>
        <c:axPos val="b"/>
        <c:numFmt formatCode="General" sourceLinked="0"/>
        <c:majorTickMark val="out"/>
        <c:minorTickMark val="none"/>
        <c:tickLblPos val="nextTo"/>
        <c:crossAx val="780687776"/>
        <c:crosses val="autoZero"/>
        <c:auto val="1"/>
        <c:lblAlgn val="ctr"/>
        <c:lblOffset val="100"/>
        <c:noMultiLvlLbl val="0"/>
      </c:catAx>
      <c:valAx>
        <c:axId val="780687776"/>
        <c:scaling>
          <c:orientation val="minMax"/>
        </c:scaling>
        <c:delete val="0"/>
        <c:axPos val="l"/>
        <c:majorGridlines/>
        <c:numFmt formatCode="_(* #,##0_);_(* \(#,##0\);_(* &quot;-&quot;_);_(@_)" sourceLinked="0"/>
        <c:majorTickMark val="out"/>
        <c:minorTickMark val="none"/>
        <c:tickLblPos val="nextTo"/>
        <c:crossAx val="780687384"/>
        <c:crosses val="autoZero"/>
        <c:crossBetween val="between"/>
      </c:valAx>
    </c:plotArea>
    <c:legend>
      <c:legendPos val="r"/>
      <c:legendEntry>
        <c:idx val="0"/>
        <c:delete val="1"/>
      </c:legendEntry>
      <c:legendEntry>
        <c:idx val="1"/>
        <c:delete val="1"/>
      </c:legendEntry>
      <c:legendEntry>
        <c:idx val="3"/>
        <c:delete val="1"/>
      </c:legendEntry>
      <c:legendEntry>
        <c:idx val="4"/>
        <c:delete val="1"/>
      </c:legendEntry>
      <c:layout>
        <c:manualLayout>
          <c:xMode val="edge"/>
          <c:yMode val="edge"/>
          <c:x val="0.53776187332322245"/>
          <c:y val="7.3786224997737307E-2"/>
          <c:w val="0.44220416596861561"/>
          <c:h val="8.3717191601049915E-2"/>
        </c:manualLayout>
      </c:layout>
      <c:overlay val="0"/>
    </c:legend>
    <c:plotVisOnly val="1"/>
    <c:dispBlanksAs val="gap"/>
    <c:showDLblsOverMax val="0"/>
  </c:chart>
  <c:txPr>
    <a:bodyPr/>
    <a:lstStyle/>
    <a:p>
      <a:pPr>
        <a:defRPr>
          <a:latin typeface="+mn-lt"/>
        </a:defRPr>
      </a:pPr>
      <a:endParaRPr lang="en-US"/>
    </a:p>
  </c:txPr>
  <c:printSettings>
    <c:headerFooter/>
    <c:pageMargins b="0.75000000000000033" l="0.70000000000000029" r="0.70000000000000029" t="0.75000000000000033" header="0.30000000000000016" footer="0.30000000000000016"/>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Correlation</a:t>
            </a:r>
          </a:p>
        </c:rich>
      </c:tx>
      <c:overlay val="0"/>
    </c:title>
    <c:autoTitleDeleted val="0"/>
    <c:plotArea>
      <c:layout>
        <c:manualLayout>
          <c:layoutTarget val="inner"/>
          <c:xMode val="edge"/>
          <c:yMode val="edge"/>
          <c:x val="0.12738812149697834"/>
          <c:y val="0.1821539353035416"/>
          <c:w val="0.80576831788970416"/>
          <c:h val="0.61760064082898725"/>
        </c:manualLayout>
      </c:layout>
      <c:scatterChart>
        <c:scatterStyle val="lineMarker"/>
        <c:varyColors val="0"/>
        <c:ser>
          <c:idx val="0"/>
          <c:order val="0"/>
          <c:tx>
            <c:strRef>
              <c:f>Correlation!$B$3</c:f>
              <c:strCache>
                <c:ptCount val="1"/>
                <c:pt idx="0">
                  <c:v>Y2 Lead Time (days)</c:v>
                </c:pt>
              </c:strCache>
            </c:strRef>
          </c:tx>
          <c:spPr>
            <a:ln w="28575">
              <a:noFill/>
            </a:ln>
          </c:spPr>
          <c:trendline>
            <c:trendlineType val="linear"/>
            <c:dispRSqr val="0"/>
            <c:dispEq val="0"/>
          </c:trendline>
          <c:xVal>
            <c:numRef>
              <c:f>Correlation!$A$4:$A$1809</c:f>
              <c:numCache>
                <c:formatCode>General</c:formatCode>
                <c:ptCount val="1806"/>
                <c:pt idx="0">
                  <c:v>52</c:v>
                </c:pt>
                <c:pt idx="1">
                  <c:v>64</c:v>
                </c:pt>
                <c:pt idx="2">
                  <c:v>49</c:v>
                </c:pt>
                <c:pt idx="3">
                  <c:v>30</c:v>
                </c:pt>
                <c:pt idx="4">
                  <c:v>26</c:v>
                </c:pt>
                <c:pt idx="5">
                  <c:v>62</c:v>
                </c:pt>
                <c:pt idx="6">
                  <c:v>44</c:v>
                </c:pt>
                <c:pt idx="7">
                  <c:v>31</c:v>
                </c:pt>
                <c:pt idx="8">
                  <c:v>64</c:v>
                </c:pt>
                <c:pt idx="9">
                  <c:v>65</c:v>
                </c:pt>
                <c:pt idx="10">
                  <c:v>67</c:v>
                </c:pt>
                <c:pt idx="11">
                  <c:v>71</c:v>
                </c:pt>
                <c:pt idx="12">
                  <c:v>65</c:v>
                </c:pt>
                <c:pt idx="13">
                  <c:v>66</c:v>
                </c:pt>
                <c:pt idx="14">
                  <c:v>25</c:v>
                </c:pt>
                <c:pt idx="15">
                  <c:v>30</c:v>
                </c:pt>
                <c:pt idx="16">
                  <c:v>24</c:v>
                </c:pt>
                <c:pt idx="17">
                  <c:v>29</c:v>
                </c:pt>
                <c:pt idx="18">
                  <c:v>45</c:v>
                </c:pt>
                <c:pt idx="19">
                  <c:v>54</c:v>
                </c:pt>
                <c:pt idx="20">
                  <c:v>59</c:v>
                </c:pt>
                <c:pt idx="21">
                  <c:v>60</c:v>
                </c:pt>
                <c:pt idx="22">
                  <c:v>34</c:v>
                </c:pt>
                <c:pt idx="23">
                  <c:v>65</c:v>
                </c:pt>
                <c:pt idx="24">
                  <c:v>69</c:v>
                </c:pt>
                <c:pt idx="25">
                  <c:v>81</c:v>
                </c:pt>
                <c:pt idx="26">
                  <c:v>63</c:v>
                </c:pt>
                <c:pt idx="27">
                  <c:v>55</c:v>
                </c:pt>
                <c:pt idx="28">
                  <c:v>41</c:v>
                </c:pt>
                <c:pt idx="29">
                  <c:v>72</c:v>
                </c:pt>
                <c:pt idx="30">
                  <c:v>75</c:v>
                </c:pt>
                <c:pt idx="31">
                  <c:v>49</c:v>
                </c:pt>
                <c:pt idx="32">
                  <c:v>58</c:v>
                </c:pt>
                <c:pt idx="33">
                  <c:v>62</c:v>
                </c:pt>
                <c:pt idx="34">
                  <c:v>83</c:v>
                </c:pt>
                <c:pt idx="35">
                  <c:v>55</c:v>
                </c:pt>
                <c:pt idx="36">
                  <c:v>67</c:v>
                </c:pt>
                <c:pt idx="37">
                  <c:v>88</c:v>
                </c:pt>
                <c:pt idx="38">
                  <c:v>34</c:v>
                </c:pt>
                <c:pt idx="39">
                  <c:v>65</c:v>
                </c:pt>
                <c:pt idx="40">
                  <c:v>84</c:v>
                </c:pt>
                <c:pt idx="41">
                  <c:v>68</c:v>
                </c:pt>
                <c:pt idx="42">
                  <c:v>71</c:v>
                </c:pt>
                <c:pt idx="43">
                  <c:v>67</c:v>
                </c:pt>
                <c:pt idx="44">
                  <c:v>44</c:v>
                </c:pt>
                <c:pt idx="45">
                  <c:v>57</c:v>
                </c:pt>
                <c:pt idx="46">
                  <c:v>84</c:v>
                </c:pt>
                <c:pt idx="47">
                  <c:v>6</c:v>
                </c:pt>
                <c:pt idx="48">
                  <c:v>36</c:v>
                </c:pt>
                <c:pt idx="49">
                  <c:v>36</c:v>
                </c:pt>
                <c:pt idx="50">
                  <c:v>37</c:v>
                </c:pt>
                <c:pt idx="51">
                  <c:v>52</c:v>
                </c:pt>
                <c:pt idx="52">
                  <c:v>55</c:v>
                </c:pt>
                <c:pt idx="53">
                  <c:v>19</c:v>
                </c:pt>
                <c:pt idx="54">
                  <c:v>54</c:v>
                </c:pt>
                <c:pt idx="55">
                  <c:v>59</c:v>
                </c:pt>
                <c:pt idx="56">
                  <c:v>25</c:v>
                </c:pt>
                <c:pt idx="57">
                  <c:v>40</c:v>
                </c:pt>
                <c:pt idx="58">
                  <c:v>27</c:v>
                </c:pt>
                <c:pt idx="59">
                  <c:v>16</c:v>
                </c:pt>
                <c:pt idx="60">
                  <c:v>20</c:v>
                </c:pt>
                <c:pt idx="61">
                  <c:v>91</c:v>
                </c:pt>
                <c:pt idx="62">
                  <c:v>39</c:v>
                </c:pt>
                <c:pt idx="63">
                  <c:v>36</c:v>
                </c:pt>
                <c:pt idx="64">
                  <c:v>25</c:v>
                </c:pt>
                <c:pt idx="65">
                  <c:v>29</c:v>
                </c:pt>
                <c:pt idx="66">
                  <c:v>67</c:v>
                </c:pt>
                <c:pt idx="67">
                  <c:v>46</c:v>
                </c:pt>
                <c:pt idx="68">
                  <c:v>65</c:v>
                </c:pt>
                <c:pt idx="69">
                  <c:v>25</c:v>
                </c:pt>
                <c:pt idx="70">
                  <c:v>66</c:v>
                </c:pt>
                <c:pt idx="71">
                  <c:v>41</c:v>
                </c:pt>
                <c:pt idx="72">
                  <c:v>26</c:v>
                </c:pt>
                <c:pt idx="73">
                  <c:v>13</c:v>
                </c:pt>
                <c:pt idx="74">
                  <c:v>81</c:v>
                </c:pt>
                <c:pt idx="75">
                  <c:v>61</c:v>
                </c:pt>
                <c:pt idx="76">
                  <c:v>43</c:v>
                </c:pt>
                <c:pt idx="77">
                  <c:v>19</c:v>
                </c:pt>
                <c:pt idx="78">
                  <c:v>37</c:v>
                </c:pt>
                <c:pt idx="79">
                  <c:v>46</c:v>
                </c:pt>
                <c:pt idx="80">
                  <c:v>80</c:v>
                </c:pt>
                <c:pt idx="81">
                  <c:v>32</c:v>
                </c:pt>
                <c:pt idx="82">
                  <c:v>45</c:v>
                </c:pt>
                <c:pt idx="83">
                  <c:v>36</c:v>
                </c:pt>
                <c:pt idx="84">
                  <c:v>15</c:v>
                </c:pt>
                <c:pt idx="85">
                  <c:v>71</c:v>
                </c:pt>
                <c:pt idx="86">
                  <c:v>82</c:v>
                </c:pt>
                <c:pt idx="87">
                  <c:v>24</c:v>
                </c:pt>
                <c:pt idx="88">
                  <c:v>78</c:v>
                </c:pt>
                <c:pt idx="89">
                  <c:v>67</c:v>
                </c:pt>
                <c:pt idx="90">
                  <c:v>40</c:v>
                </c:pt>
                <c:pt idx="91">
                  <c:v>49</c:v>
                </c:pt>
                <c:pt idx="92">
                  <c:v>36</c:v>
                </c:pt>
                <c:pt idx="93">
                  <c:v>91</c:v>
                </c:pt>
                <c:pt idx="94">
                  <c:v>55</c:v>
                </c:pt>
                <c:pt idx="95">
                  <c:v>39</c:v>
                </c:pt>
                <c:pt idx="96">
                  <c:v>27</c:v>
                </c:pt>
                <c:pt idx="97">
                  <c:v>82</c:v>
                </c:pt>
                <c:pt idx="98">
                  <c:v>74</c:v>
                </c:pt>
                <c:pt idx="99">
                  <c:v>65</c:v>
                </c:pt>
                <c:pt idx="100">
                  <c:v>94</c:v>
                </c:pt>
                <c:pt idx="101">
                  <c:v>25</c:v>
                </c:pt>
                <c:pt idx="102">
                  <c:v>41</c:v>
                </c:pt>
                <c:pt idx="103">
                  <c:v>72</c:v>
                </c:pt>
                <c:pt idx="104">
                  <c:v>53</c:v>
                </c:pt>
                <c:pt idx="105">
                  <c:v>39</c:v>
                </c:pt>
                <c:pt idx="106">
                  <c:v>10</c:v>
                </c:pt>
                <c:pt idx="107">
                  <c:v>81</c:v>
                </c:pt>
                <c:pt idx="108">
                  <c:v>25</c:v>
                </c:pt>
                <c:pt idx="109">
                  <c:v>19</c:v>
                </c:pt>
                <c:pt idx="110">
                  <c:v>40</c:v>
                </c:pt>
                <c:pt idx="111">
                  <c:v>65</c:v>
                </c:pt>
                <c:pt idx="112">
                  <c:v>72</c:v>
                </c:pt>
                <c:pt idx="113">
                  <c:v>28</c:v>
                </c:pt>
                <c:pt idx="114">
                  <c:v>57</c:v>
                </c:pt>
                <c:pt idx="115">
                  <c:v>46</c:v>
                </c:pt>
                <c:pt idx="116">
                  <c:v>55</c:v>
                </c:pt>
                <c:pt idx="117">
                  <c:v>76</c:v>
                </c:pt>
                <c:pt idx="118">
                  <c:v>35</c:v>
                </c:pt>
                <c:pt idx="119">
                  <c:v>41</c:v>
                </c:pt>
                <c:pt idx="120">
                  <c:v>32</c:v>
                </c:pt>
                <c:pt idx="121">
                  <c:v>33</c:v>
                </c:pt>
                <c:pt idx="122">
                  <c:v>54</c:v>
                </c:pt>
                <c:pt idx="123">
                  <c:v>69</c:v>
                </c:pt>
                <c:pt idx="124">
                  <c:v>73</c:v>
                </c:pt>
                <c:pt idx="125">
                  <c:v>50</c:v>
                </c:pt>
                <c:pt idx="126">
                  <c:v>24</c:v>
                </c:pt>
                <c:pt idx="127">
                  <c:v>78</c:v>
                </c:pt>
                <c:pt idx="128">
                  <c:v>32</c:v>
                </c:pt>
                <c:pt idx="129">
                  <c:v>48</c:v>
                </c:pt>
                <c:pt idx="130">
                  <c:v>52</c:v>
                </c:pt>
                <c:pt idx="131">
                  <c:v>67</c:v>
                </c:pt>
                <c:pt idx="132">
                  <c:v>48</c:v>
                </c:pt>
                <c:pt idx="133">
                  <c:v>66</c:v>
                </c:pt>
                <c:pt idx="134">
                  <c:v>98</c:v>
                </c:pt>
                <c:pt idx="135">
                  <c:v>62</c:v>
                </c:pt>
                <c:pt idx="136">
                  <c:v>56</c:v>
                </c:pt>
                <c:pt idx="137">
                  <c:v>88</c:v>
                </c:pt>
                <c:pt idx="138">
                  <c:v>24</c:v>
                </c:pt>
                <c:pt idx="139">
                  <c:v>55</c:v>
                </c:pt>
                <c:pt idx="140">
                  <c:v>41</c:v>
                </c:pt>
                <c:pt idx="141">
                  <c:v>50</c:v>
                </c:pt>
                <c:pt idx="142">
                  <c:v>145</c:v>
                </c:pt>
                <c:pt idx="143">
                  <c:v>19</c:v>
                </c:pt>
                <c:pt idx="144">
                  <c:v>38</c:v>
                </c:pt>
                <c:pt idx="145">
                  <c:v>83</c:v>
                </c:pt>
                <c:pt idx="146">
                  <c:v>74</c:v>
                </c:pt>
                <c:pt idx="147">
                  <c:v>85</c:v>
                </c:pt>
                <c:pt idx="148">
                  <c:v>77</c:v>
                </c:pt>
                <c:pt idx="149">
                  <c:v>91</c:v>
                </c:pt>
                <c:pt idx="150">
                  <c:v>44</c:v>
                </c:pt>
                <c:pt idx="151">
                  <c:v>29</c:v>
                </c:pt>
                <c:pt idx="152">
                  <c:v>7</c:v>
                </c:pt>
                <c:pt idx="153">
                  <c:v>41</c:v>
                </c:pt>
                <c:pt idx="154">
                  <c:v>66</c:v>
                </c:pt>
                <c:pt idx="155">
                  <c:v>33</c:v>
                </c:pt>
                <c:pt idx="156">
                  <c:v>55</c:v>
                </c:pt>
                <c:pt idx="157">
                  <c:v>50</c:v>
                </c:pt>
                <c:pt idx="158">
                  <c:v>65</c:v>
                </c:pt>
                <c:pt idx="159">
                  <c:v>35</c:v>
                </c:pt>
                <c:pt idx="160">
                  <c:v>42</c:v>
                </c:pt>
                <c:pt idx="161">
                  <c:v>43</c:v>
                </c:pt>
                <c:pt idx="162">
                  <c:v>48</c:v>
                </c:pt>
                <c:pt idx="163">
                  <c:v>72</c:v>
                </c:pt>
                <c:pt idx="164">
                  <c:v>53</c:v>
                </c:pt>
                <c:pt idx="165">
                  <c:v>24</c:v>
                </c:pt>
                <c:pt idx="166">
                  <c:v>58</c:v>
                </c:pt>
                <c:pt idx="167">
                  <c:v>61</c:v>
                </c:pt>
                <c:pt idx="168">
                  <c:v>82</c:v>
                </c:pt>
                <c:pt idx="169">
                  <c:v>78</c:v>
                </c:pt>
                <c:pt idx="170">
                  <c:v>61</c:v>
                </c:pt>
                <c:pt idx="171">
                  <c:v>26</c:v>
                </c:pt>
                <c:pt idx="172">
                  <c:v>19</c:v>
                </c:pt>
                <c:pt idx="173">
                  <c:v>38</c:v>
                </c:pt>
                <c:pt idx="174">
                  <c:v>47</c:v>
                </c:pt>
                <c:pt idx="175">
                  <c:v>35</c:v>
                </c:pt>
                <c:pt idx="176">
                  <c:v>17</c:v>
                </c:pt>
                <c:pt idx="177">
                  <c:v>31</c:v>
                </c:pt>
                <c:pt idx="178">
                  <c:v>89</c:v>
                </c:pt>
                <c:pt idx="179">
                  <c:v>47</c:v>
                </c:pt>
                <c:pt idx="180">
                  <c:v>75</c:v>
                </c:pt>
                <c:pt idx="181">
                  <c:v>60</c:v>
                </c:pt>
                <c:pt idx="182">
                  <c:v>65</c:v>
                </c:pt>
                <c:pt idx="183">
                  <c:v>73</c:v>
                </c:pt>
                <c:pt idx="184">
                  <c:v>80</c:v>
                </c:pt>
                <c:pt idx="185">
                  <c:v>63</c:v>
                </c:pt>
                <c:pt idx="186">
                  <c:v>35</c:v>
                </c:pt>
                <c:pt idx="187">
                  <c:v>40</c:v>
                </c:pt>
                <c:pt idx="188">
                  <c:v>67</c:v>
                </c:pt>
                <c:pt idx="189">
                  <c:v>31</c:v>
                </c:pt>
                <c:pt idx="190">
                  <c:v>72</c:v>
                </c:pt>
                <c:pt idx="191">
                  <c:v>32</c:v>
                </c:pt>
                <c:pt idx="192">
                  <c:v>45</c:v>
                </c:pt>
                <c:pt idx="193">
                  <c:v>10</c:v>
                </c:pt>
                <c:pt idx="194">
                  <c:v>50</c:v>
                </c:pt>
                <c:pt idx="195">
                  <c:v>51</c:v>
                </c:pt>
                <c:pt idx="196">
                  <c:v>25</c:v>
                </c:pt>
                <c:pt idx="197">
                  <c:v>63</c:v>
                </c:pt>
                <c:pt idx="198">
                  <c:v>49</c:v>
                </c:pt>
                <c:pt idx="199">
                  <c:v>69</c:v>
                </c:pt>
                <c:pt idx="200">
                  <c:v>5</c:v>
                </c:pt>
                <c:pt idx="201">
                  <c:v>72</c:v>
                </c:pt>
                <c:pt idx="202">
                  <c:v>17</c:v>
                </c:pt>
                <c:pt idx="203">
                  <c:v>38</c:v>
                </c:pt>
                <c:pt idx="204">
                  <c:v>25</c:v>
                </c:pt>
                <c:pt idx="205">
                  <c:v>35</c:v>
                </c:pt>
                <c:pt idx="206">
                  <c:v>76</c:v>
                </c:pt>
                <c:pt idx="207">
                  <c:v>33</c:v>
                </c:pt>
                <c:pt idx="208">
                  <c:v>42</c:v>
                </c:pt>
                <c:pt idx="209">
                  <c:v>53</c:v>
                </c:pt>
                <c:pt idx="210">
                  <c:v>48</c:v>
                </c:pt>
                <c:pt idx="211">
                  <c:v>55</c:v>
                </c:pt>
                <c:pt idx="212">
                  <c:v>34</c:v>
                </c:pt>
                <c:pt idx="213">
                  <c:v>35</c:v>
                </c:pt>
                <c:pt idx="214">
                  <c:v>38</c:v>
                </c:pt>
                <c:pt idx="215">
                  <c:v>53</c:v>
                </c:pt>
                <c:pt idx="216">
                  <c:v>53</c:v>
                </c:pt>
                <c:pt idx="217">
                  <c:v>45</c:v>
                </c:pt>
                <c:pt idx="218">
                  <c:v>49</c:v>
                </c:pt>
                <c:pt idx="219">
                  <c:v>31</c:v>
                </c:pt>
                <c:pt idx="220">
                  <c:v>55</c:v>
                </c:pt>
                <c:pt idx="221">
                  <c:v>58</c:v>
                </c:pt>
                <c:pt idx="222">
                  <c:v>77</c:v>
                </c:pt>
                <c:pt idx="223">
                  <c:v>41</c:v>
                </c:pt>
                <c:pt idx="224">
                  <c:v>65</c:v>
                </c:pt>
                <c:pt idx="225">
                  <c:v>35</c:v>
                </c:pt>
                <c:pt idx="226">
                  <c:v>41</c:v>
                </c:pt>
                <c:pt idx="227">
                  <c:v>34</c:v>
                </c:pt>
                <c:pt idx="228">
                  <c:v>35</c:v>
                </c:pt>
                <c:pt idx="229">
                  <c:v>87</c:v>
                </c:pt>
                <c:pt idx="230">
                  <c:v>21</c:v>
                </c:pt>
                <c:pt idx="231">
                  <c:v>72</c:v>
                </c:pt>
                <c:pt idx="232">
                  <c:v>43</c:v>
                </c:pt>
                <c:pt idx="233">
                  <c:v>35</c:v>
                </c:pt>
                <c:pt idx="234">
                  <c:v>29</c:v>
                </c:pt>
                <c:pt idx="235">
                  <c:v>98</c:v>
                </c:pt>
                <c:pt idx="236">
                  <c:v>57</c:v>
                </c:pt>
                <c:pt idx="237">
                  <c:v>25</c:v>
                </c:pt>
                <c:pt idx="238">
                  <c:v>35</c:v>
                </c:pt>
                <c:pt idx="239">
                  <c:v>108</c:v>
                </c:pt>
                <c:pt idx="240">
                  <c:v>66</c:v>
                </c:pt>
                <c:pt idx="241">
                  <c:v>24</c:v>
                </c:pt>
                <c:pt idx="242">
                  <c:v>35</c:v>
                </c:pt>
                <c:pt idx="243">
                  <c:v>43</c:v>
                </c:pt>
                <c:pt idx="244">
                  <c:v>23</c:v>
                </c:pt>
                <c:pt idx="245">
                  <c:v>47</c:v>
                </c:pt>
                <c:pt idx="246">
                  <c:v>40</c:v>
                </c:pt>
                <c:pt idx="247">
                  <c:v>28</c:v>
                </c:pt>
                <c:pt idx="248">
                  <c:v>56</c:v>
                </c:pt>
                <c:pt idx="249">
                  <c:v>64</c:v>
                </c:pt>
                <c:pt idx="250">
                  <c:v>20</c:v>
                </c:pt>
                <c:pt idx="251">
                  <c:v>34</c:v>
                </c:pt>
                <c:pt idx="252">
                  <c:v>48</c:v>
                </c:pt>
                <c:pt idx="253">
                  <c:v>16</c:v>
                </c:pt>
                <c:pt idx="254">
                  <c:v>62</c:v>
                </c:pt>
                <c:pt idx="255">
                  <c:v>104</c:v>
                </c:pt>
                <c:pt idx="256">
                  <c:v>127</c:v>
                </c:pt>
                <c:pt idx="257">
                  <c:v>88</c:v>
                </c:pt>
                <c:pt idx="258">
                  <c:v>61</c:v>
                </c:pt>
                <c:pt idx="259">
                  <c:v>62</c:v>
                </c:pt>
                <c:pt idx="260">
                  <c:v>34</c:v>
                </c:pt>
                <c:pt idx="261">
                  <c:v>46</c:v>
                </c:pt>
                <c:pt idx="262">
                  <c:v>52</c:v>
                </c:pt>
                <c:pt idx="263">
                  <c:v>53</c:v>
                </c:pt>
                <c:pt idx="264">
                  <c:v>88</c:v>
                </c:pt>
                <c:pt idx="265">
                  <c:v>60</c:v>
                </c:pt>
                <c:pt idx="266">
                  <c:v>25</c:v>
                </c:pt>
                <c:pt idx="267">
                  <c:v>73</c:v>
                </c:pt>
                <c:pt idx="268">
                  <c:v>79</c:v>
                </c:pt>
                <c:pt idx="269">
                  <c:v>41</c:v>
                </c:pt>
                <c:pt idx="270">
                  <c:v>38</c:v>
                </c:pt>
                <c:pt idx="271">
                  <c:v>36</c:v>
                </c:pt>
                <c:pt idx="272">
                  <c:v>39</c:v>
                </c:pt>
                <c:pt idx="273">
                  <c:v>39</c:v>
                </c:pt>
                <c:pt idx="274">
                  <c:v>71</c:v>
                </c:pt>
                <c:pt idx="275">
                  <c:v>30</c:v>
                </c:pt>
                <c:pt idx="276">
                  <c:v>70</c:v>
                </c:pt>
                <c:pt idx="277">
                  <c:v>81</c:v>
                </c:pt>
                <c:pt idx="278">
                  <c:v>72</c:v>
                </c:pt>
                <c:pt idx="279">
                  <c:v>35</c:v>
                </c:pt>
                <c:pt idx="280">
                  <c:v>55</c:v>
                </c:pt>
                <c:pt idx="281">
                  <c:v>51</c:v>
                </c:pt>
                <c:pt idx="282">
                  <c:v>55</c:v>
                </c:pt>
                <c:pt idx="283">
                  <c:v>57</c:v>
                </c:pt>
                <c:pt idx="284">
                  <c:v>26</c:v>
                </c:pt>
                <c:pt idx="285">
                  <c:v>103</c:v>
                </c:pt>
                <c:pt idx="286">
                  <c:v>29</c:v>
                </c:pt>
                <c:pt idx="287">
                  <c:v>57</c:v>
                </c:pt>
                <c:pt idx="288">
                  <c:v>65</c:v>
                </c:pt>
                <c:pt idx="289">
                  <c:v>29</c:v>
                </c:pt>
                <c:pt idx="290">
                  <c:v>74</c:v>
                </c:pt>
                <c:pt idx="291">
                  <c:v>19</c:v>
                </c:pt>
                <c:pt idx="292">
                  <c:v>55</c:v>
                </c:pt>
                <c:pt idx="293">
                  <c:v>63</c:v>
                </c:pt>
                <c:pt idx="294">
                  <c:v>64</c:v>
                </c:pt>
                <c:pt idx="295">
                  <c:v>65</c:v>
                </c:pt>
                <c:pt idx="296">
                  <c:v>30</c:v>
                </c:pt>
                <c:pt idx="297">
                  <c:v>87</c:v>
                </c:pt>
                <c:pt idx="298">
                  <c:v>16</c:v>
                </c:pt>
                <c:pt idx="299">
                  <c:v>59</c:v>
                </c:pt>
                <c:pt idx="300">
                  <c:v>68</c:v>
                </c:pt>
                <c:pt idx="301">
                  <c:v>50</c:v>
                </c:pt>
                <c:pt idx="302">
                  <c:v>84</c:v>
                </c:pt>
                <c:pt idx="303">
                  <c:v>36</c:v>
                </c:pt>
                <c:pt idx="304">
                  <c:v>55</c:v>
                </c:pt>
                <c:pt idx="305">
                  <c:v>35</c:v>
                </c:pt>
                <c:pt idx="306">
                  <c:v>57</c:v>
                </c:pt>
                <c:pt idx="307">
                  <c:v>50</c:v>
                </c:pt>
                <c:pt idx="308">
                  <c:v>39</c:v>
                </c:pt>
                <c:pt idx="309">
                  <c:v>17</c:v>
                </c:pt>
                <c:pt idx="310">
                  <c:v>58</c:v>
                </c:pt>
                <c:pt idx="311">
                  <c:v>85</c:v>
                </c:pt>
                <c:pt idx="312">
                  <c:v>59</c:v>
                </c:pt>
                <c:pt idx="313">
                  <c:v>65</c:v>
                </c:pt>
                <c:pt idx="314">
                  <c:v>28</c:v>
                </c:pt>
                <c:pt idx="315">
                  <c:v>50</c:v>
                </c:pt>
                <c:pt idx="316">
                  <c:v>39</c:v>
                </c:pt>
                <c:pt idx="317">
                  <c:v>47</c:v>
                </c:pt>
                <c:pt idx="318">
                  <c:v>52</c:v>
                </c:pt>
                <c:pt idx="319">
                  <c:v>53</c:v>
                </c:pt>
                <c:pt idx="320">
                  <c:v>28</c:v>
                </c:pt>
                <c:pt idx="321">
                  <c:v>37</c:v>
                </c:pt>
                <c:pt idx="322">
                  <c:v>71</c:v>
                </c:pt>
                <c:pt idx="323">
                  <c:v>44</c:v>
                </c:pt>
                <c:pt idx="324">
                  <c:v>15</c:v>
                </c:pt>
                <c:pt idx="325">
                  <c:v>12</c:v>
                </c:pt>
                <c:pt idx="326">
                  <c:v>59</c:v>
                </c:pt>
                <c:pt idx="327">
                  <c:v>73</c:v>
                </c:pt>
                <c:pt idx="328">
                  <c:v>36</c:v>
                </c:pt>
                <c:pt idx="329">
                  <c:v>35</c:v>
                </c:pt>
                <c:pt idx="330">
                  <c:v>57</c:v>
                </c:pt>
                <c:pt idx="331">
                  <c:v>92</c:v>
                </c:pt>
                <c:pt idx="332">
                  <c:v>64</c:v>
                </c:pt>
                <c:pt idx="333">
                  <c:v>29</c:v>
                </c:pt>
                <c:pt idx="334">
                  <c:v>37</c:v>
                </c:pt>
                <c:pt idx="335">
                  <c:v>87</c:v>
                </c:pt>
                <c:pt idx="336">
                  <c:v>73</c:v>
                </c:pt>
                <c:pt idx="337">
                  <c:v>58</c:v>
                </c:pt>
                <c:pt idx="338">
                  <c:v>91</c:v>
                </c:pt>
                <c:pt idx="339">
                  <c:v>62</c:v>
                </c:pt>
                <c:pt idx="340">
                  <c:v>25</c:v>
                </c:pt>
                <c:pt idx="341">
                  <c:v>52</c:v>
                </c:pt>
                <c:pt idx="342">
                  <c:v>78</c:v>
                </c:pt>
                <c:pt idx="343">
                  <c:v>90</c:v>
                </c:pt>
                <c:pt idx="344">
                  <c:v>60</c:v>
                </c:pt>
                <c:pt idx="345">
                  <c:v>85</c:v>
                </c:pt>
                <c:pt idx="346">
                  <c:v>54</c:v>
                </c:pt>
                <c:pt idx="347">
                  <c:v>35</c:v>
                </c:pt>
                <c:pt idx="348">
                  <c:v>78</c:v>
                </c:pt>
                <c:pt idx="349">
                  <c:v>55</c:v>
                </c:pt>
                <c:pt idx="350">
                  <c:v>82</c:v>
                </c:pt>
                <c:pt idx="351">
                  <c:v>82</c:v>
                </c:pt>
                <c:pt idx="352">
                  <c:v>36</c:v>
                </c:pt>
                <c:pt idx="353">
                  <c:v>42</c:v>
                </c:pt>
                <c:pt idx="354">
                  <c:v>26</c:v>
                </c:pt>
                <c:pt idx="355">
                  <c:v>81</c:v>
                </c:pt>
                <c:pt idx="356">
                  <c:v>62</c:v>
                </c:pt>
                <c:pt idx="357">
                  <c:v>33</c:v>
                </c:pt>
                <c:pt idx="358">
                  <c:v>84</c:v>
                </c:pt>
                <c:pt idx="359">
                  <c:v>85</c:v>
                </c:pt>
                <c:pt idx="360">
                  <c:v>84</c:v>
                </c:pt>
                <c:pt idx="361">
                  <c:v>35</c:v>
                </c:pt>
                <c:pt idx="362">
                  <c:v>95</c:v>
                </c:pt>
                <c:pt idx="363">
                  <c:v>47</c:v>
                </c:pt>
                <c:pt idx="364">
                  <c:v>46</c:v>
                </c:pt>
                <c:pt idx="365">
                  <c:v>15</c:v>
                </c:pt>
                <c:pt idx="366">
                  <c:v>66</c:v>
                </c:pt>
                <c:pt idx="367">
                  <c:v>45</c:v>
                </c:pt>
                <c:pt idx="368">
                  <c:v>55</c:v>
                </c:pt>
                <c:pt idx="369">
                  <c:v>37</c:v>
                </c:pt>
                <c:pt idx="370">
                  <c:v>67</c:v>
                </c:pt>
                <c:pt idx="371">
                  <c:v>86</c:v>
                </c:pt>
                <c:pt idx="372">
                  <c:v>21</c:v>
                </c:pt>
                <c:pt idx="373">
                  <c:v>24</c:v>
                </c:pt>
                <c:pt idx="374">
                  <c:v>36</c:v>
                </c:pt>
                <c:pt idx="375">
                  <c:v>85</c:v>
                </c:pt>
                <c:pt idx="376">
                  <c:v>31</c:v>
                </c:pt>
                <c:pt idx="377">
                  <c:v>63</c:v>
                </c:pt>
                <c:pt idx="378">
                  <c:v>74</c:v>
                </c:pt>
                <c:pt idx="379">
                  <c:v>38</c:v>
                </c:pt>
                <c:pt idx="380">
                  <c:v>63</c:v>
                </c:pt>
                <c:pt idx="381">
                  <c:v>74</c:v>
                </c:pt>
                <c:pt idx="382">
                  <c:v>95</c:v>
                </c:pt>
                <c:pt idx="383">
                  <c:v>38</c:v>
                </c:pt>
                <c:pt idx="384">
                  <c:v>65</c:v>
                </c:pt>
                <c:pt idx="385">
                  <c:v>47</c:v>
                </c:pt>
                <c:pt idx="386">
                  <c:v>33</c:v>
                </c:pt>
                <c:pt idx="387">
                  <c:v>55</c:v>
                </c:pt>
                <c:pt idx="388">
                  <c:v>27</c:v>
                </c:pt>
                <c:pt idx="389">
                  <c:v>86</c:v>
                </c:pt>
                <c:pt idx="390">
                  <c:v>52</c:v>
                </c:pt>
                <c:pt idx="391">
                  <c:v>65</c:v>
                </c:pt>
                <c:pt idx="392">
                  <c:v>45</c:v>
                </c:pt>
                <c:pt idx="393">
                  <c:v>23</c:v>
                </c:pt>
                <c:pt idx="394">
                  <c:v>55</c:v>
                </c:pt>
                <c:pt idx="395">
                  <c:v>65</c:v>
                </c:pt>
                <c:pt idx="396">
                  <c:v>23</c:v>
                </c:pt>
                <c:pt idx="397">
                  <c:v>29</c:v>
                </c:pt>
                <c:pt idx="398">
                  <c:v>42</c:v>
                </c:pt>
                <c:pt idx="399">
                  <c:v>53</c:v>
                </c:pt>
                <c:pt idx="400">
                  <c:v>45</c:v>
                </c:pt>
                <c:pt idx="401">
                  <c:v>74</c:v>
                </c:pt>
                <c:pt idx="402">
                  <c:v>67</c:v>
                </c:pt>
                <c:pt idx="403">
                  <c:v>41</c:v>
                </c:pt>
                <c:pt idx="404">
                  <c:v>42</c:v>
                </c:pt>
                <c:pt idx="405">
                  <c:v>73</c:v>
                </c:pt>
                <c:pt idx="406">
                  <c:v>65</c:v>
                </c:pt>
                <c:pt idx="407">
                  <c:v>29</c:v>
                </c:pt>
                <c:pt idx="408">
                  <c:v>55</c:v>
                </c:pt>
                <c:pt idx="409">
                  <c:v>44</c:v>
                </c:pt>
                <c:pt idx="410">
                  <c:v>45</c:v>
                </c:pt>
                <c:pt idx="411">
                  <c:v>33</c:v>
                </c:pt>
                <c:pt idx="412">
                  <c:v>74</c:v>
                </c:pt>
                <c:pt idx="413">
                  <c:v>38</c:v>
                </c:pt>
                <c:pt idx="414">
                  <c:v>41</c:v>
                </c:pt>
                <c:pt idx="415">
                  <c:v>89</c:v>
                </c:pt>
                <c:pt idx="416">
                  <c:v>46</c:v>
                </c:pt>
                <c:pt idx="417">
                  <c:v>72</c:v>
                </c:pt>
                <c:pt idx="418">
                  <c:v>45</c:v>
                </c:pt>
                <c:pt idx="419">
                  <c:v>45</c:v>
                </c:pt>
                <c:pt idx="420">
                  <c:v>36</c:v>
                </c:pt>
                <c:pt idx="421">
                  <c:v>49</c:v>
                </c:pt>
                <c:pt idx="422">
                  <c:v>79</c:v>
                </c:pt>
                <c:pt idx="423">
                  <c:v>96</c:v>
                </c:pt>
                <c:pt idx="424">
                  <c:v>29</c:v>
                </c:pt>
                <c:pt idx="425">
                  <c:v>16</c:v>
                </c:pt>
                <c:pt idx="426">
                  <c:v>53</c:v>
                </c:pt>
                <c:pt idx="427">
                  <c:v>47</c:v>
                </c:pt>
                <c:pt idx="428">
                  <c:v>81</c:v>
                </c:pt>
                <c:pt idx="429">
                  <c:v>51</c:v>
                </c:pt>
                <c:pt idx="430">
                  <c:v>42</c:v>
                </c:pt>
                <c:pt idx="431">
                  <c:v>49</c:v>
                </c:pt>
                <c:pt idx="432">
                  <c:v>68</c:v>
                </c:pt>
                <c:pt idx="433">
                  <c:v>35</c:v>
                </c:pt>
                <c:pt idx="434">
                  <c:v>51</c:v>
                </c:pt>
                <c:pt idx="435">
                  <c:v>34</c:v>
                </c:pt>
                <c:pt idx="436">
                  <c:v>45</c:v>
                </c:pt>
                <c:pt idx="437">
                  <c:v>89</c:v>
                </c:pt>
                <c:pt idx="438">
                  <c:v>48</c:v>
                </c:pt>
                <c:pt idx="439">
                  <c:v>43</c:v>
                </c:pt>
                <c:pt idx="440">
                  <c:v>35</c:v>
                </c:pt>
                <c:pt idx="441">
                  <c:v>34</c:v>
                </c:pt>
                <c:pt idx="442">
                  <c:v>39</c:v>
                </c:pt>
                <c:pt idx="443">
                  <c:v>58</c:v>
                </c:pt>
                <c:pt idx="444">
                  <c:v>51</c:v>
                </c:pt>
                <c:pt idx="445">
                  <c:v>44</c:v>
                </c:pt>
                <c:pt idx="446">
                  <c:v>35</c:v>
                </c:pt>
                <c:pt idx="447">
                  <c:v>55</c:v>
                </c:pt>
                <c:pt idx="448">
                  <c:v>42</c:v>
                </c:pt>
                <c:pt idx="449">
                  <c:v>31</c:v>
                </c:pt>
                <c:pt idx="450">
                  <c:v>89</c:v>
                </c:pt>
                <c:pt idx="451">
                  <c:v>37</c:v>
                </c:pt>
                <c:pt idx="452">
                  <c:v>51</c:v>
                </c:pt>
                <c:pt idx="453">
                  <c:v>48</c:v>
                </c:pt>
                <c:pt idx="454">
                  <c:v>35</c:v>
                </c:pt>
                <c:pt idx="455">
                  <c:v>53</c:v>
                </c:pt>
                <c:pt idx="456">
                  <c:v>66</c:v>
                </c:pt>
                <c:pt idx="457">
                  <c:v>61</c:v>
                </c:pt>
                <c:pt idx="458">
                  <c:v>28</c:v>
                </c:pt>
                <c:pt idx="459">
                  <c:v>53</c:v>
                </c:pt>
                <c:pt idx="460">
                  <c:v>95</c:v>
                </c:pt>
                <c:pt idx="461">
                  <c:v>57</c:v>
                </c:pt>
                <c:pt idx="462">
                  <c:v>75</c:v>
                </c:pt>
                <c:pt idx="463">
                  <c:v>28</c:v>
                </c:pt>
                <c:pt idx="464">
                  <c:v>35</c:v>
                </c:pt>
                <c:pt idx="465">
                  <c:v>31</c:v>
                </c:pt>
                <c:pt idx="466">
                  <c:v>57</c:v>
                </c:pt>
                <c:pt idx="467">
                  <c:v>71</c:v>
                </c:pt>
                <c:pt idx="468">
                  <c:v>52</c:v>
                </c:pt>
                <c:pt idx="469">
                  <c:v>75</c:v>
                </c:pt>
                <c:pt idx="470">
                  <c:v>61</c:v>
                </c:pt>
                <c:pt idx="471">
                  <c:v>57</c:v>
                </c:pt>
                <c:pt idx="472">
                  <c:v>65</c:v>
                </c:pt>
                <c:pt idx="473">
                  <c:v>22</c:v>
                </c:pt>
                <c:pt idx="474">
                  <c:v>56</c:v>
                </c:pt>
                <c:pt idx="475">
                  <c:v>41</c:v>
                </c:pt>
                <c:pt idx="476">
                  <c:v>43</c:v>
                </c:pt>
                <c:pt idx="477">
                  <c:v>55</c:v>
                </c:pt>
                <c:pt idx="478">
                  <c:v>36</c:v>
                </c:pt>
                <c:pt idx="479">
                  <c:v>63</c:v>
                </c:pt>
                <c:pt idx="480">
                  <c:v>69</c:v>
                </c:pt>
                <c:pt idx="481">
                  <c:v>37</c:v>
                </c:pt>
                <c:pt idx="482">
                  <c:v>71</c:v>
                </c:pt>
                <c:pt idx="483">
                  <c:v>33</c:v>
                </c:pt>
                <c:pt idx="484">
                  <c:v>39</c:v>
                </c:pt>
                <c:pt idx="485">
                  <c:v>64</c:v>
                </c:pt>
                <c:pt idx="486">
                  <c:v>39</c:v>
                </c:pt>
                <c:pt idx="487">
                  <c:v>39</c:v>
                </c:pt>
                <c:pt idx="488">
                  <c:v>25</c:v>
                </c:pt>
                <c:pt idx="489">
                  <c:v>38</c:v>
                </c:pt>
                <c:pt idx="490">
                  <c:v>29</c:v>
                </c:pt>
                <c:pt idx="491">
                  <c:v>56</c:v>
                </c:pt>
                <c:pt idx="492">
                  <c:v>25</c:v>
                </c:pt>
                <c:pt idx="493">
                  <c:v>38</c:v>
                </c:pt>
                <c:pt idx="494">
                  <c:v>42</c:v>
                </c:pt>
                <c:pt idx="495">
                  <c:v>65</c:v>
                </c:pt>
              </c:numCache>
            </c:numRef>
          </c:xVal>
          <c:yVal>
            <c:numRef>
              <c:f>Correlation!$B$4:$B$1809</c:f>
              <c:numCache>
                <c:formatCode>General</c:formatCode>
                <c:ptCount val="1806"/>
                <c:pt idx="0">
                  <c:v>9</c:v>
                </c:pt>
                <c:pt idx="1">
                  <c:v>20</c:v>
                </c:pt>
                <c:pt idx="2">
                  <c:v>13</c:v>
                </c:pt>
                <c:pt idx="3">
                  <c:v>11</c:v>
                </c:pt>
                <c:pt idx="4">
                  <c:v>15</c:v>
                </c:pt>
                <c:pt idx="5">
                  <c:v>14</c:v>
                </c:pt>
                <c:pt idx="6">
                  <c:v>15</c:v>
                </c:pt>
                <c:pt idx="7">
                  <c:v>13</c:v>
                </c:pt>
                <c:pt idx="8">
                  <c:v>13</c:v>
                </c:pt>
                <c:pt idx="9">
                  <c:v>21</c:v>
                </c:pt>
                <c:pt idx="10">
                  <c:v>23</c:v>
                </c:pt>
                <c:pt idx="11">
                  <c:v>17</c:v>
                </c:pt>
                <c:pt idx="12">
                  <c:v>14</c:v>
                </c:pt>
                <c:pt idx="13">
                  <c:v>16</c:v>
                </c:pt>
                <c:pt idx="14">
                  <c:v>16</c:v>
                </c:pt>
                <c:pt idx="15">
                  <c:v>14</c:v>
                </c:pt>
                <c:pt idx="16">
                  <c:v>17</c:v>
                </c:pt>
                <c:pt idx="17">
                  <c:v>12</c:v>
                </c:pt>
                <c:pt idx="18">
                  <c:v>12</c:v>
                </c:pt>
                <c:pt idx="19">
                  <c:v>17</c:v>
                </c:pt>
                <c:pt idx="20">
                  <c:v>18</c:v>
                </c:pt>
                <c:pt idx="21">
                  <c:v>11</c:v>
                </c:pt>
                <c:pt idx="22">
                  <c:v>21</c:v>
                </c:pt>
                <c:pt idx="23">
                  <c:v>11</c:v>
                </c:pt>
                <c:pt idx="24">
                  <c:v>20</c:v>
                </c:pt>
                <c:pt idx="25">
                  <c:v>18</c:v>
                </c:pt>
                <c:pt idx="26">
                  <c:v>28</c:v>
                </c:pt>
                <c:pt idx="27">
                  <c:v>23</c:v>
                </c:pt>
                <c:pt idx="28">
                  <c:v>16</c:v>
                </c:pt>
                <c:pt idx="29">
                  <c:v>17</c:v>
                </c:pt>
                <c:pt idx="30">
                  <c:v>10</c:v>
                </c:pt>
                <c:pt idx="31">
                  <c:v>11</c:v>
                </c:pt>
                <c:pt idx="32">
                  <c:v>13</c:v>
                </c:pt>
                <c:pt idx="33">
                  <c:v>9</c:v>
                </c:pt>
                <c:pt idx="34">
                  <c:v>11</c:v>
                </c:pt>
                <c:pt idx="35">
                  <c:v>10</c:v>
                </c:pt>
                <c:pt idx="36">
                  <c:v>16</c:v>
                </c:pt>
                <c:pt idx="37">
                  <c:v>22</c:v>
                </c:pt>
                <c:pt idx="38">
                  <c:v>10</c:v>
                </c:pt>
                <c:pt idx="39">
                  <c:v>9</c:v>
                </c:pt>
                <c:pt idx="40">
                  <c:v>14</c:v>
                </c:pt>
                <c:pt idx="41">
                  <c:v>11</c:v>
                </c:pt>
                <c:pt idx="42">
                  <c:v>14</c:v>
                </c:pt>
                <c:pt idx="43">
                  <c:v>14</c:v>
                </c:pt>
                <c:pt idx="44">
                  <c:v>13</c:v>
                </c:pt>
                <c:pt idx="45">
                  <c:v>18</c:v>
                </c:pt>
                <c:pt idx="46">
                  <c:v>12</c:v>
                </c:pt>
                <c:pt idx="47">
                  <c:v>14</c:v>
                </c:pt>
                <c:pt idx="48">
                  <c:v>11</c:v>
                </c:pt>
                <c:pt idx="49">
                  <c:v>17</c:v>
                </c:pt>
                <c:pt idx="50">
                  <c:v>11</c:v>
                </c:pt>
                <c:pt idx="51">
                  <c:v>9</c:v>
                </c:pt>
                <c:pt idx="52">
                  <c:v>9</c:v>
                </c:pt>
                <c:pt idx="53">
                  <c:v>11</c:v>
                </c:pt>
                <c:pt idx="54">
                  <c:v>15</c:v>
                </c:pt>
                <c:pt idx="55">
                  <c:v>19</c:v>
                </c:pt>
                <c:pt idx="56">
                  <c:v>15</c:v>
                </c:pt>
                <c:pt idx="57">
                  <c:v>13</c:v>
                </c:pt>
                <c:pt idx="58">
                  <c:v>14</c:v>
                </c:pt>
                <c:pt idx="59">
                  <c:v>10</c:v>
                </c:pt>
                <c:pt idx="60">
                  <c:v>13</c:v>
                </c:pt>
                <c:pt idx="61">
                  <c:v>9</c:v>
                </c:pt>
                <c:pt idx="62">
                  <c:v>9</c:v>
                </c:pt>
                <c:pt idx="63">
                  <c:v>13</c:v>
                </c:pt>
                <c:pt idx="64">
                  <c:v>12</c:v>
                </c:pt>
                <c:pt idx="65">
                  <c:v>11</c:v>
                </c:pt>
                <c:pt idx="66">
                  <c:v>18</c:v>
                </c:pt>
                <c:pt idx="67">
                  <c:v>10</c:v>
                </c:pt>
                <c:pt idx="68">
                  <c:v>13</c:v>
                </c:pt>
                <c:pt idx="69">
                  <c:v>13</c:v>
                </c:pt>
                <c:pt idx="70">
                  <c:v>17</c:v>
                </c:pt>
                <c:pt idx="71">
                  <c:v>14</c:v>
                </c:pt>
                <c:pt idx="72">
                  <c:v>17</c:v>
                </c:pt>
                <c:pt idx="73">
                  <c:v>14</c:v>
                </c:pt>
                <c:pt idx="74">
                  <c:v>16</c:v>
                </c:pt>
                <c:pt idx="75">
                  <c:v>14</c:v>
                </c:pt>
                <c:pt idx="76">
                  <c:v>19</c:v>
                </c:pt>
                <c:pt idx="77">
                  <c:v>17</c:v>
                </c:pt>
                <c:pt idx="78">
                  <c:v>16</c:v>
                </c:pt>
                <c:pt idx="79">
                  <c:v>13</c:v>
                </c:pt>
                <c:pt idx="80">
                  <c:v>18</c:v>
                </c:pt>
                <c:pt idx="81">
                  <c:v>18</c:v>
                </c:pt>
                <c:pt idx="82">
                  <c:v>14</c:v>
                </c:pt>
                <c:pt idx="83">
                  <c:v>13</c:v>
                </c:pt>
                <c:pt idx="84">
                  <c:v>19</c:v>
                </c:pt>
                <c:pt idx="85">
                  <c:v>12</c:v>
                </c:pt>
                <c:pt idx="86">
                  <c:v>27</c:v>
                </c:pt>
                <c:pt idx="87">
                  <c:v>10</c:v>
                </c:pt>
                <c:pt idx="88">
                  <c:v>13</c:v>
                </c:pt>
                <c:pt idx="89">
                  <c:v>24</c:v>
                </c:pt>
                <c:pt idx="90">
                  <c:v>18</c:v>
                </c:pt>
                <c:pt idx="91">
                  <c:v>12</c:v>
                </c:pt>
                <c:pt idx="92">
                  <c:v>26</c:v>
                </c:pt>
                <c:pt idx="93">
                  <c:v>13</c:v>
                </c:pt>
                <c:pt idx="94">
                  <c:v>17</c:v>
                </c:pt>
                <c:pt idx="95">
                  <c:v>19</c:v>
                </c:pt>
                <c:pt idx="96">
                  <c:v>13</c:v>
                </c:pt>
                <c:pt idx="97">
                  <c:v>17</c:v>
                </c:pt>
                <c:pt idx="98">
                  <c:v>23</c:v>
                </c:pt>
                <c:pt idx="99">
                  <c:v>19</c:v>
                </c:pt>
                <c:pt idx="100">
                  <c:v>10</c:v>
                </c:pt>
                <c:pt idx="101">
                  <c:v>17</c:v>
                </c:pt>
                <c:pt idx="102">
                  <c:v>15</c:v>
                </c:pt>
                <c:pt idx="103">
                  <c:v>17</c:v>
                </c:pt>
                <c:pt idx="104">
                  <c:v>10</c:v>
                </c:pt>
                <c:pt idx="105">
                  <c:v>21</c:v>
                </c:pt>
                <c:pt idx="106">
                  <c:v>15</c:v>
                </c:pt>
                <c:pt idx="107">
                  <c:v>29</c:v>
                </c:pt>
                <c:pt idx="108">
                  <c:v>18</c:v>
                </c:pt>
                <c:pt idx="109">
                  <c:v>17</c:v>
                </c:pt>
                <c:pt idx="110">
                  <c:v>17</c:v>
                </c:pt>
                <c:pt idx="111">
                  <c:v>23</c:v>
                </c:pt>
                <c:pt idx="112">
                  <c:v>16</c:v>
                </c:pt>
                <c:pt idx="113">
                  <c:v>11</c:v>
                </c:pt>
                <c:pt idx="114">
                  <c:v>18</c:v>
                </c:pt>
                <c:pt idx="115">
                  <c:v>19</c:v>
                </c:pt>
                <c:pt idx="116">
                  <c:v>16</c:v>
                </c:pt>
                <c:pt idx="117">
                  <c:v>11</c:v>
                </c:pt>
                <c:pt idx="118">
                  <c:v>14</c:v>
                </c:pt>
                <c:pt idx="119">
                  <c:v>14</c:v>
                </c:pt>
                <c:pt idx="120">
                  <c:v>13</c:v>
                </c:pt>
                <c:pt idx="121">
                  <c:v>14</c:v>
                </c:pt>
                <c:pt idx="122">
                  <c:v>17</c:v>
                </c:pt>
                <c:pt idx="123">
                  <c:v>16</c:v>
                </c:pt>
                <c:pt idx="124">
                  <c:v>12</c:v>
                </c:pt>
                <c:pt idx="125">
                  <c:v>21</c:v>
                </c:pt>
                <c:pt idx="126">
                  <c:v>25</c:v>
                </c:pt>
                <c:pt idx="127">
                  <c:v>15</c:v>
                </c:pt>
                <c:pt idx="128">
                  <c:v>21</c:v>
                </c:pt>
                <c:pt idx="129">
                  <c:v>17</c:v>
                </c:pt>
                <c:pt idx="130">
                  <c:v>13</c:v>
                </c:pt>
                <c:pt idx="131">
                  <c:v>22</c:v>
                </c:pt>
                <c:pt idx="132">
                  <c:v>13</c:v>
                </c:pt>
                <c:pt idx="133">
                  <c:v>18</c:v>
                </c:pt>
                <c:pt idx="134">
                  <c:v>15</c:v>
                </c:pt>
                <c:pt idx="135">
                  <c:v>11</c:v>
                </c:pt>
                <c:pt idx="136">
                  <c:v>21</c:v>
                </c:pt>
                <c:pt idx="137">
                  <c:v>26</c:v>
                </c:pt>
                <c:pt idx="138">
                  <c:v>21</c:v>
                </c:pt>
                <c:pt idx="139">
                  <c:v>14</c:v>
                </c:pt>
                <c:pt idx="140">
                  <c:v>11</c:v>
                </c:pt>
                <c:pt idx="141">
                  <c:v>13</c:v>
                </c:pt>
                <c:pt idx="142">
                  <c:v>20</c:v>
                </c:pt>
                <c:pt idx="143">
                  <c:v>13</c:v>
                </c:pt>
                <c:pt idx="144">
                  <c:v>6</c:v>
                </c:pt>
                <c:pt idx="145">
                  <c:v>13</c:v>
                </c:pt>
                <c:pt idx="146">
                  <c:v>13</c:v>
                </c:pt>
                <c:pt idx="147">
                  <c:v>27</c:v>
                </c:pt>
                <c:pt idx="148">
                  <c:v>10</c:v>
                </c:pt>
                <c:pt idx="149">
                  <c:v>17</c:v>
                </c:pt>
                <c:pt idx="150">
                  <c:v>11</c:v>
                </c:pt>
                <c:pt idx="151">
                  <c:v>14</c:v>
                </c:pt>
                <c:pt idx="152">
                  <c:v>11</c:v>
                </c:pt>
                <c:pt idx="153">
                  <c:v>15</c:v>
                </c:pt>
                <c:pt idx="154">
                  <c:v>11</c:v>
                </c:pt>
                <c:pt idx="155">
                  <c:v>13</c:v>
                </c:pt>
                <c:pt idx="156">
                  <c:v>14</c:v>
                </c:pt>
                <c:pt idx="157">
                  <c:v>11</c:v>
                </c:pt>
                <c:pt idx="158">
                  <c:v>11</c:v>
                </c:pt>
                <c:pt idx="159">
                  <c:v>18</c:v>
                </c:pt>
                <c:pt idx="160">
                  <c:v>15</c:v>
                </c:pt>
                <c:pt idx="161">
                  <c:v>16</c:v>
                </c:pt>
                <c:pt idx="162">
                  <c:v>16</c:v>
                </c:pt>
                <c:pt idx="163">
                  <c:v>17</c:v>
                </c:pt>
                <c:pt idx="164">
                  <c:v>24</c:v>
                </c:pt>
                <c:pt idx="165">
                  <c:v>18</c:v>
                </c:pt>
                <c:pt idx="166">
                  <c:v>13</c:v>
                </c:pt>
                <c:pt idx="167">
                  <c:v>14</c:v>
                </c:pt>
                <c:pt idx="168">
                  <c:v>22</c:v>
                </c:pt>
                <c:pt idx="169">
                  <c:v>14</c:v>
                </c:pt>
                <c:pt idx="170">
                  <c:v>18</c:v>
                </c:pt>
                <c:pt idx="171">
                  <c:v>14</c:v>
                </c:pt>
                <c:pt idx="172">
                  <c:v>10</c:v>
                </c:pt>
                <c:pt idx="173">
                  <c:v>16</c:v>
                </c:pt>
                <c:pt idx="174">
                  <c:v>13</c:v>
                </c:pt>
                <c:pt idx="175">
                  <c:v>16</c:v>
                </c:pt>
                <c:pt idx="176">
                  <c:v>12</c:v>
                </c:pt>
                <c:pt idx="177">
                  <c:v>16</c:v>
                </c:pt>
                <c:pt idx="178">
                  <c:v>15</c:v>
                </c:pt>
                <c:pt idx="179">
                  <c:v>12</c:v>
                </c:pt>
                <c:pt idx="180">
                  <c:v>11</c:v>
                </c:pt>
                <c:pt idx="181">
                  <c:v>14</c:v>
                </c:pt>
                <c:pt idx="182">
                  <c:v>11</c:v>
                </c:pt>
                <c:pt idx="183">
                  <c:v>9</c:v>
                </c:pt>
                <c:pt idx="184">
                  <c:v>13</c:v>
                </c:pt>
                <c:pt idx="185">
                  <c:v>11</c:v>
                </c:pt>
                <c:pt idx="186">
                  <c:v>11</c:v>
                </c:pt>
                <c:pt idx="187">
                  <c:v>23</c:v>
                </c:pt>
                <c:pt idx="188">
                  <c:v>12</c:v>
                </c:pt>
                <c:pt idx="189">
                  <c:v>13</c:v>
                </c:pt>
                <c:pt idx="190">
                  <c:v>19</c:v>
                </c:pt>
                <c:pt idx="191">
                  <c:v>19</c:v>
                </c:pt>
                <c:pt idx="192">
                  <c:v>26</c:v>
                </c:pt>
                <c:pt idx="193">
                  <c:v>15</c:v>
                </c:pt>
                <c:pt idx="194">
                  <c:v>11</c:v>
                </c:pt>
                <c:pt idx="195">
                  <c:v>13</c:v>
                </c:pt>
                <c:pt idx="196">
                  <c:v>11</c:v>
                </c:pt>
                <c:pt idx="197">
                  <c:v>22</c:v>
                </c:pt>
                <c:pt idx="198">
                  <c:v>13</c:v>
                </c:pt>
                <c:pt idx="199">
                  <c:v>19</c:v>
                </c:pt>
                <c:pt idx="200">
                  <c:v>10</c:v>
                </c:pt>
                <c:pt idx="201">
                  <c:v>16</c:v>
                </c:pt>
                <c:pt idx="202">
                  <c:v>12</c:v>
                </c:pt>
                <c:pt idx="203">
                  <c:v>12</c:v>
                </c:pt>
                <c:pt idx="204">
                  <c:v>19</c:v>
                </c:pt>
                <c:pt idx="205">
                  <c:v>13</c:v>
                </c:pt>
                <c:pt idx="206">
                  <c:v>10</c:v>
                </c:pt>
                <c:pt idx="207">
                  <c:v>12</c:v>
                </c:pt>
                <c:pt idx="208">
                  <c:v>14</c:v>
                </c:pt>
                <c:pt idx="209">
                  <c:v>11</c:v>
                </c:pt>
                <c:pt idx="210">
                  <c:v>15</c:v>
                </c:pt>
                <c:pt idx="211">
                  <c:v>16</c:v>
                </c:pt>
                <c:pt idx="212">
                  <c:v>16</c:v>
                </c:pt>
                <c:pt idx="213">
                  <c:v>13</c:v>
                </c:pt>
                <c:pt idx="214">
                  <c:v>13</c:v>
                </c:pt>
                <c:pt idx="215">
                  <c:v>10</c:v>
                </c:pt>
                <c:pt idx="216">
                  <c:v>22</c:v>
                </c:pt>
                <c:pt idx="217">
                  <c:v>13</c:v>
                </c:pt>
                <c:pt idx="218">
                  <c:v>13</c:v>
                </c:pt>
                <c:pt idx="219">
                  <c:v>21</c:v>
                </c:pt>
                <c:pt idx="220">
                  <c:v>19</c:v>
                </c:pt>
                <c:pt idx="221">
                  <c:v>18</c:v>
                </c:pt>
                <c:pt idx="222">
                  <c:v>26</c:v>
                </c:pt>
                <c:pt idx="223">
                  <c:v>13</c:v>
                </c:pt>
                <c:pt idx="224">
                  <c:v>18</c:v>
                </c:pt>
                <c:pt idx="225">
                  <c:v>24</c:v>
                </c:pt>
                <c:pt idx="226">
                  <c:v>12</c:v>
                </c:pt>
                <c:pt idx="227">
                  <c:v>25</c:v>
                </c:pt>
                <c:pt idx="228">
                  <c:v>14</c:v>
                </c:pt>
                <c:pt idx="229">
                  <c:v>15</c:v>
                </c:pt>
                <c:pt idx="230">
                  <c:v>19</c:v>
                </c:pt>
                <c:pt idx="231">
                  <c:v>19</c:v>
                </c:pt>
                <c:pt idx="232">
                  <c:v>25</c:v>
                </c:pt>
                <c:pt idx="233">
                  <c:v>18</c:v>
                </c:pt>
                <c:pt idx="234">
                  <c:v>14</c:v>
                </c:pt>
                <c:pt idx="235">
                  <c:v>21</c:v>
                </c:pt>
                <c:pt idx="236">
                  <c:v>21</c:v>
                </c:pt>
                <c:pt idx="237">
                  <c:v>15</c:v>
                </c:pt>
                <c:pt idx="238">
                  <c:v>12</c:v>
                </c:pt>
                <c:pt idx="239">
                  <c:v>19</c:v>
                </c:pt>
                <c:pt idx="240">
                  <c:v>25</c:v>
                </c:pt>
                <c:pt idx="241">
                  <c:v>16</c:v>
                </c:pt>
                <c:pt idx="242">
                  <c:v>25</c:v>
                </c:pt>
                <c:pt idx="243">
                  <c:v>25</c:v>
                </c:pt>
                <c:pt idx="244">
                  <c:v>18</c:v>
                </c:pt>
                <c:pt idx="245">
                  <c:v>13</c:v>
                </c:pt>
                <c:pt idx="246">
                  <c:v>16</c:v>
                </c:pt>
                <c:pt idx="247">
                  <c:v>14</c:v>
                </c:pt>
                <c:pt idx="248">
                  <c:v>19</c:v>
                </c:pt>
                <c:pt idx="249">
                  <c:v>19</c:v>
                </c:pt>
                <c:pt idx="250">
                  <c:v>11</c:v>
                </c:pt>
                <c:pt idx="251">
                  <c:v>27</c:v>
                </c:pt>
                <c:pt idx="252">
                  <c:v>22</c:v>
                </c:pt>
                <c:pt idx="253">
                  <c:v>8</c:v>
                </c:pt>
                <c:pt idx="254">
                  <c:v>13</c:v>
                </c:pt>
                <c:pt idx="255">
                  <c:v>10</c:v>
                </c:pt>
                <c:pt idx="256">
                  <c:v>17</c:v>
                </c:pt>
                <c:pt idx="257">
                  <c:v>25</c:v>
                </c:pt>
                <c:pt idx="258">
                  <c:v>16</c:v>
                </c:pt>
                <c:pt idx="259">
                  <c:v>16</c:v>
                </c:pt>
                <c:pt idx="260">
                  <c:v>13</c:v>
                </c:pt>
                <c:pt idx="261">
                  <c:v>19</c:v>
                </c:pt>
                <c:pt idx="262">
                  <c:v>20</c:v>
                </c:pt>
                <c:pt idx="263">
                  <c:v>20</c:v>
                </c:pt>
                <c:pt idx="264">
                  <c:v>15</c:v>
                </c:pt>
                <c:pt idx="265">
                  <c:v>12</c:v>
                </c:pt>
                <c:pt idx="266">
                  <c:v>16</c:v>
                </c:pt>
                <c:pt idx="267">
                  <c:v>19</c:v>
                </c:pt>
                <c:pt idx="268">
                  <c:v>13</c:v>
                </c:pt>
                <c:pt idx="269">
                  <c:v>15</c:v>
                </c:pt>
                <c:pt idx="270">
                  <c:v>8</c:v>
                </c:pt>
                <c:pt idx="271">
                  <c:v>11</c:v>
                </c:pt>
                <c:pt idx="272">
                  <c:v>10</c:v>
                </c:pt>
                <c:pt idx="273">
                  <c:v>11</c:v>
                </c:pt>
                <c:pt idx="274">
                  <c:v>15</c:v>
                </c:pt>
                <c:pt idx="275">
                  <c:v>27</c:v>
                </c:pt>
                <c:pt idx="276">
                  <c:v>21</c:v>
                </c:pt>
                <c:pt idx="277">
                  <c:v>12</c:v>
                </c:pt>
                <c:pt idx="278">
                  <c:v>18</c:v>
                </c:pt>
                <c:pt idx="279">
                  <c:v>13</c:v>
                </c:pt>
                <c:pt idx="280">
                  <c:v>24</c:v>
                </c:pt>
                <c:pt idx="281">
                  <c:v>13</c:v>
                </c:pt>
                <c:pt idx="282">
                  <c:v>14</c:v>
                </c:pt>
                <c:pt idx="283">
                  <c:v>26</c:v>
                </c:pt>
                <c:pt idx="284">
                  <c:v>24</c:v>
                </c:pt>
                <c:pt idx="285">
                  <c:v>14</c:v>
                </c:pt>
                <c:pt idx="286">
                  <c:v>24</c:v>
                </c:pt>
                <c:pt idx="287">
                  <c:v>16</c:v>
                </c:pt>
                <c:pt idx="288">
                  <c:v>13</c:v>
                </c:pt>
                <c:pt idx="289">
                  <c:v>9</c:v>
                </c:pt>
                <c:pt idx="290">
                  <c:v>11</c:v>
                </c:pt>
                <c:pt idx="291">
                  <c:v>13</c:v>
                </c:pt>
                <c:pt idx="292">
                  <c:v>14</c:v>
                </c:pt>
                <c:pt idx="293">
                  <c:v>17</c:v>
                </c:pt>
                <c:pt idx="294">
                  <c:v>10</c:v>
                </c:pt>
                <c:pt idx="295">
                  <c:v>15</c:v>
                </c:pt>
                <c:pt idx="296">
                  <c:v>13</c:v>
                </c:pt>
                <c:pt idx="297">
                  <c:v>9</c:v>
                </c:pt>
                <c:pt idx="298">
                  <c:v>13</c:v>
                </c:pt>
                <c:pt idx="299">
                  <c:v>13</c:v>
                </c:pt>
                <c:pt idx="300">
                  <c:v>10</c:v>
                </c:pt>
                <c:pt idx="301">
                  <c:v>10</c:v>
                </c:pt>
                <c:pt idx="302">
                  <c:v>21</c:v>
                </c:pt>
                <c:pt idx="303">
                  <c:v>10</c:v>
                </c:pt>
                <c:pt idx="304">
                  <c:v>12</c:v>
                </c:pt>
                <c:pt idx="305">
                  <c:v>11</c:v>
                </c:pt>
                <c:pt idx="306">
                  <c:v>19</c:v>
                </c:pt>
                <c:pt idx="307">
                  <c:v>16</c:v>
                </c:pt>
                <c:pt idx="308">
                  <c:v>10</c:v>
                </c:pt>
                <c:pt idx="309">
                  <c:v>10</c:v>
                </c:pt>
                <c:pt idx="310">
                  <c:v>12</c:v>
                </c:pt>
                <c:pt idx="311">
                  <c:v>17</c:v>
                </c:pt>
                <c:pt idx="312">
                  <c:v>12</c:v>
                </c:pt>
                <c:pt idx="313">
                  <c:v>14</c:v>
                </c:pt>
                <c:pt idx="314">
                  <c:v>14</c:v>
                </c:pt>
                <c:pt idx="315">
                  <c:v>8</c:v>
                </c:pt>
                <c:pt idx="316">
                  <c:v>7</c:v>
                </c:pt>
                <c:pt idx="317">
                  <c:v>12</c:v>
                </c:pt>
                <c:pt idx="318">
                  <c:v>11</c:v>
                </c:pt>
                <c:pt idx="319">
                  <c:v>11</c:v>
                </c:pt>
                <c:pt idx="320">
                  <c:v>26</c:v>
                </c:pt>
                <c:pt idx="321">
                  <c:v>15</c:v>
                </c:pt>
                <c:pt idx="322">
                  <c:v>13</c:v>
                </c:pt>
                <c:pt idx="323">
                  <c:v>16</c:v>
                </c:pt>
                <c:pt idx="324">
                  <c:v>21</c:v>
                </c:pt>
                <c:pt idx="325">
                  <c:v>16</c:v>
                </c:pt>
                <c:pt idx="326">
                  <c:v>20</c:v>
                </c:pt>
                <c:pt idx="327">
                  <c:v>24</c:v>
                </c:pt>
                <c:pt idx="328">
                  <c:v>28</c:v>
                </c:pt>
                <c:pt idx="329">
                  <c:v>18</c:v>
                </c:pt>
                <c:pt idx="330">
                  <c:v>14</c:v>
                </c:pt>
                <c:pt idx="331">
                  <c:v>13</c:v>
                </c:pt>
                <c:pt idx="332">
                  <c:v>30</c:v>
                </c:pt>
                <c:pt idx="333">
                  <c:v>16</c:v>
                </c:pt>
                <c:pt idx="334">
                  <c:v>13</c:v>
                </c:pt>
                <c:pt idx="335">
                  <c:v>23</c:v>
                </c:pt>
                <c:pt idx="336">
                  <c:v>19</c:v>
                </c:pt>
                <c:pt idx="337">
                  <c:v>12</c:v>
                </c:pt>
                <c:pt idx="338">
                  <c:v>16</c:v>
                </c:pt>
                <c:pt idx="339">
                  <c:v>18</c:v>
                </c:pt>
                <c:pt idx="340">
                  <c:v>10</c:v>
                </c:pt>
                <c:pt idx="341">
                  <c:v>14</c:v>
                </c:pt>
                <c:pt idx="342">
                  <c:v>17</c:v>
                </c:pt>
                <c:pt idx="343">
                  <c:v>29</c:v>
                </c:pt>
                <c:pt idx="344">
                  <c:v>16</c:v>
                </c:pt>
                <c:pt idx="345">
                  <c:v>14</c:v>
                </c:pt>
                <c:pt idx="346">
                  <c:v>13</c:v>
                </c:pt>
                <c:pt idx="347">
                  <c:v>14</c:v>
                </c:pt>
                <c:pt idx="348">
                  <c:v>23</c:v>
                </c:pt>
                <c:pt idx="349">
                  <c:v>25</c:v>
                </c:pt>
                <c:pt idx="350">
                  <c:v>20</c:v>
                </c:pt>
                <c:pt idx="351">
                  <c:v>16</c:v>
                </c:pt>
                <c:pt idx="352">
                  <c:v>11</c:v>
                </c:pt>
                <c:pt idx="353">
                  <c:v>15</c:v>
                </c:pt>
                <c:pt idx="354">
                  <c:v>23</c:v>
                </c:pt>
                <c:pt idx="355">
                  <c:v>13</c:v>
                </c:pt>
                <c:pt idx="356">
                  <c:v>13</c:v>
                </c:pt>
                <c:pt idx="357">
                  <c:v>26</c:v>
                </c:pt>
                <c:pt idx="358">
                  <c:v>27</c:v>
                </c:pt>
                <c:pt idx="359">
                  <c:v>25</c:v>
                </c:pt>
                <c:pt idx="360">
                  <c:v>25</c:v>
                </c:pt>
                <c:pt idx="361">
                  <c:v>26</c:v>
                </c:pt>
                <c:pt idx="362">
                  <c:v>15</c:v>
                </c:pt>
                <c:pt idx="363">
                  <c:v>13</c:v>
                </c:pt>
                <c:pt idx="364">
                  <c:v>23</c:v>
                </c:pt>
                <c:pt idx="365">
                  <c:v>22</c:v>
                </c:pt>
                <c:pt idx="366">
                  <c:v>13</c:v>
                </c:pt>
                <c:pt idx="367">
                  <c:v>24</c:v>
                </c:pt>
                <c:pt idx="368">
                  <c:v>13</c:v>
                </c:pt>
                <c:pt idx="369">
                  <c:v>10</c:v>
                </c:pt>
                <c:pt idx="370">
                  <c:v>13</c:v>
                </c:pt>
                <c:pt idx="371">
                  <c:v>16</c:v>
                </c:pt>
                <c:pt idx="372">
                  <c:v>12</c:v>
                </c:pt>
                <c:pt idx="373">
                  <c:v>19</c:v>
                </c:pt>
                <c:pt idx="374">
                  <c:v>13</c:v>
                </c:pt>
                <c:pt idx="375">
                  <c:v>14</c:v>
                </c:pt>
                <c:pt idx="376">
                  <c:v>24</c:v>
                </c:pt>
                <c:pt idx="377">
                  <c:v>14</c:v>
                </c:pt>
                <c:pt idx="378">
                  <c:v>12</c:v>
                </c:pt>
                <c:pt idx="379">
                  <c:v>8</c:v>
                </c:pt>
                <c:pt idx="380">
                  <c:v>18</c:v>
                </c:pt>
                <c:pt idx="381">
                  <c:v>18</c:v>
                </c:pt>
                <c:pt idx="382">
                  <c:v>20</c:v>
                </c:pt>
                <c:pt idx="383">
                  <c:v>10</c:v>
                </c:pt>
                <c:pt idx="384">
                  <c:v>12</c:v>
                </c:pt>
                <c:pt idx="385">
                  <c:v>10</c:v>
                </c:pt>
                <c:pt idx="386">
                  <c:v>19</c:v>
                </c:pt>
                <c:pt idx="387">
                  <c:v>11</c:v>
                </c:pt>
                <c:pt idx="388">
                  <c:v>14</c:v>
                </c:pt>
                <c:pt idx="389">
                  <c:v>11</c:v>
                </c:pt>
                <c:pt idx="390">
                  <c:v>12</c:v>
                </c:pt>
                <c:pt idx="391">
                  <c:v>11</c:v>
                </c:pt>
                <c:pt idx="392">
                  <c:v>17</c:v>
                </c:pt>
                <c:pt idx="393">
                  <c:v>15</c:v>
                </c:pt>
                <c:pt idx="394">
                  <c:v>23</c:v>
                </c:pt>
                <c:pt idx="395">
                  <c:v>13</c:v>
                </c:pt>
                <c:pt idx="396">
                  <c:v>24</c:v>
                </c:pt>
                <c:pt idx="397">
                  <c:v>12</c:v>
                </c:pt>
                <c:pt idx="398">
                  <c:v>20</c:v>
                </c:pt>
                <c:pt idx="399">
                  <c:v>11</c:v>
                </c:pt>
                <c:pt idx="400">
                  <c:v>15</c:v>
                </c:pt>
                <c:pt idx="401">
                  <c:v>17</c:v>
                </c:pt>
                <c:pt idx="402">
                  <c:v>10</c:v>
                </c:pt>
                <c:pt idx="403">
                  <c:v>12</c:v>
                </c:pt>
                <c:pt idx="404">
                  <c:v>14</c:v>
                </c:pt>
                <c:pt idx="405">
                  <c:v>14</c:v>
                </c:pt>
                <c:pt idx="406">
                  <c:v>11</c:v>
                </c:pt>
                <c:pt idx="407">
                  <c:v>14</c:v>
                </c:pt>
                <c:pt idx="408">
                  <c:v>16</c:v>
                </c:pt>
                <c:pt idx="409">
                  <c:v>18</c:v>
                </c:pt>
                <c:pt idx="410">
                  <c:v>15</c:v>
                </c:pt>
                <c:pt idx="411">
                  <c:v>12</c:v>
                </c:pt>
                <c:pt idx="412">
                  <c:v>14</c:v>
                </c:pt>
                <c:pt idx="413">
                  <c:v>16</c:v>
                </c:pt>
                <c:pt idx="414">
                  <c:v>10</c:v>
                </c:pt>
                <c:pt idx="415">
                  <c:v>19</c:v>
                </c:pt>
                <c:pt idx="416">
                  <c:v>21</c:v>
                </c:pt>
                <c:pt idx="417">
                  <c:v>13</c:v>
                </c:pt>
                <c:pt idx="418">
                  <c:v>14</c:v>
                </c:pt>
                <c:pt idx="419">
                  <c:v>9</c:v>
                </c:pt>
                <c:pt idx="420">
                  <c:v>14</c:v>
                </c:pt>
                <c:pt idx="421">
                  <c:v>11</c:v>
                </c:pt>
                <c:pt idx="422">
                  <c:v>14</c:v>
                </c:pt>
                <c:pt idx="423">
                  <c:v>13</c:v>
                </c:pt>
                <c:pt idx="424">
                  <c:v>14</c:v>
                </c:pt>
                <c:pt idx="425">
                  <c:v>12</c:v>
                </c:pt>
                <c:pt idx="426">
                  <c:v>13</c:v>
                </c:pt>
                <c:pt idx="427">
                  <c:v>13</c:v>
                </c:pt>
                <c:pt idx="428">
                  <c:v>17</c:v>
                </c:pt>
                <c:pt idx="429">
                  <c:v>21</c:v>
                </c:pt>
                <c:pt idx="430">
                  <c:v>13</c:v>
                </c:pt>
                <c:pt idx="431">
                  <c:v>15</c:v>
                </c:pt>
                <c:pt idx="432">
                  <c:v>11</c:v>
                </c:pt>
                <c:pt idx="433">
                  <c:v>9</c:v>
                </c:pt>
                <c:pt idx="434">
                  <c:v>12</c:v>
                </c:pt>
                <c:pt idx="435">
                  <c:v>10</c:v>
                </c:pt>
                <c:pt idx="436">
                  <c:v>15</c:v>
                </c:pt>
                <c:pt idx="437">
                  <c:v>12</c:v>
                </c:pt>
                <c:pt idx="438">
                  <c:v>13</c:v>
                </c:pt>
                <c:pt idx="439">
                  <c:v>13</c:v>
                </c:pt>
                <c:pt idx="440">
                  <c:v>17</c:v>
                </c:pt>
                <c:pt idx="441">
                  <c:v>12</c:v>
                </c:pt>
                <c:pt idx="442">
                  <c:v>15</c:v>
                </c:pt>
                <c:pt idx="443">
                  <c:v>11</c:v>
                </c:pt>
                <c:pt idx="444">
                  <c:v>8</c:v>
                </c:pt>
                <c:pt idx="445">
                  <c:v>12</c:v>
                </c:pt>
                <c:pt idx="446">
                  <c:v>7</c:v>
                </c:pt>
                <c:pt idx="447">
                  <c:v>10</c:v>
                </c:pt>
                <c:pt idx="448">
                  <c:v>12</c:v>
                </c:pt>
                <c:pt idx="449">
                  <c:v>19</c:v>
                </c:pt>
                <c:pt idx="450">
                  <c:v>17</c:v>
                </c:pt>
                <c:pt idx="451">
                  <c:v>16</c:v>
                </c:pt>
                <c:pt idx="452">
                  <c:v>9</c:v>
                </c:pt>
                <c:pt idx="453">
                  <c:v>16</c:v>
                </c:pt>
                <c:pt idx="454">
                  <c:v>16</c:v>
                </c:pt>
                <c:pt idx="455">
                  <c:v>14</c:v>
                </c:pt>
                <c:pt idx="456">
                  <c:v>13</c:v>
                </c:pt>
                <c:pt idx="457">
                  <c:v>12</c:v>
                </c:pt>
                <c:pt idx="458">
                  <c:v>23</c:v>
                </c:pt>
                <c:pt idx="459">
                  <c:v>22</c:v>
                </c:pt>
                <c:pt idx="460">
                  <c:v>18</c:v>
                </c:pt>
                <c:pt idx="461">
                  <c:v>14</c:v>
                </c:pt>
                <c:pt idx="462">
                  <c:v>18</c:v>
                </c:pt>
                <c:pt idx="463">
                  <c:v>16</c:v>
                </c:pt>
                <c:pt idx="464">
                  <c:v>19</c:v>
                </c:pt>
                <c:pt idx="465">
                  <c:v>10</c:v>
                </c:pt>
                <c:pt idx="466">
                  <c:v>13</c:v>
                </c:pt>
                <c:pt idx="467">
                  <c:v>15</c:v>
                </c:pt>
                <c:pt idx="468">
                  <c:v>28</c:v>
                </c:pt>
                <c:pt idx="469">
                  <c:v>8</c:v>
                </c:pt>
                <c:pt idx="470">
                  <c:v>20</c:v>
                </c:pt>
                <c:pt idx="471">
                  <c:v>26</c:v>
                </c:pt>
                <c:pt idx="472">
                  <c:v>14</c:v>
                </c:pt>
                <c:pt idx="473">
                  <c:v>16</c:v>
                </c:pt>
                <c:pt idx="474">
                  <c:v>12</c:v>
                </c:pt>
                <c:pt idx="475">
                  <c:v>26</c:v>
                </c:pt>
                <c:pt idx="476">
                  <c:v>15</c:v>
                </c:pt>
                <c:pt idx="477">
                  <c:v>12</c:v>
                </c:pt>
                <c:pt idx="478">
                  <c:v>30</c:v>
                </c:pt>
                <c:pt idx="479">
                  <c:v>13</c:v>
                </c:pt>
                <c:pt idx="480">
                  <c:v>14</c:v>
                </c:pt>
                <c:pt idx="481">
                  <c:v>15</c:v>
                </c:pt>
                <c:pt idx="482">
                  <c:v>10</c:v>
                </c:pt>
                <c:pt idx="483">
                  <c:v>18</c:v>
                </c:pt>
                <c:pt idx="484">
                  <c:v>14</c:v>
                </c:pt>
                <c:pt idx="485">
                  <c:v>26</c:v>
                </c:pt>
                <c:pt idx="486">
                  <c:v>19</c:v>
                </c:pt>
                <c:pt idx="487">
                  <c:v>13</c:v>
                </c:pt>
                <c:pt idx="488">
                  <c:v>16</c:v>
                </c:pt>
                <c:pt idx="489">
                  <c:v>15</c:v>
                </c:pt>
                <c:pt idx="490">
                  <c:v>13</c:v>
                </c:pt>
                <c:pt idx="491">
                  <c:v>15</c:v>
                </c:pt>
                <c:pt idx="492">
                  <c:v>22</c:v>
                </c:pt>
                <c:pt idx="493">
                  <c:v>14</c:v>
                </c:pt>
                <c:pt idx="494">
                  <c:v>11</c:v>
                </c:pt>
                <c:pt idx="495">
                  <c:v>26</c:v>
                </c:pt>
              </c:numCache>
            </c:numRef>
          </c:yVal>
          <c:smooth val="0"/>
          <c:extLst>
            <c:ext xmlns:c16="http://schemas.microsoft.com/office/drawing/2014/chart" uri="{C3380CC4-5D6E-409C-BE32-E72D297353CC}">
              <c16:uniqueId val="{00000001-34BA-6841-866F-672D497E8CD2}"/>
            </c:ext>
          </c:extLst>
        </c:ser>
        <c:dLbls>
          <c:showLegendKey val="0"/>
          <c:showVal val="0"/>
          <c:showCatName val="0"/>
          <c:showSerName val="0"/>
          <c:showPercent val="0"/>
          <c:showBubbleSize val="0"/>
        </c:dLbls>
        <c:axId val="780678760"/>
        <c:axId val="780680328"/>
      </c:scatterChart>
      <c:valAx>
        <c:axId val="780678760"/>
        <c:scaling>
          <c:orientation val="minMax"/>
        </c:scaling>
        <c:delete val="0"/>
        <c:axPos val="b"/>
        <c:title>
          <c:tx>
            <c:strRef>
              <c:f>Correlation!$A$3</c:f>
              <c:strCache>
                <c:ptCount val="1"/>
                <c:pt idx="0">
                  <c:v>X3 Amount (£k)</c:v>
                </c:pt>
              </c:strCache>
            </c:strRef>
          </c:tx>
          <c:overlay val="0"/>
        </c:title>
        <c:numFmt formatCode="General" sourceLinked="1"/>
        <c:majorTickMark val="out"/>
        <c:minorTickMark val="none"/>
        <c:tickLblPos val="nextTo"/>
        <c:crossAx val="780680328"/>
        <c:crosses val="autoZero"/>
        <c:crossBetween val="midCat"/>
      </c:valAx>
      <c:valAx>
        <c:axId val="780680328"/>
        <c:scaling>
          <c:orientation val="minMax"/>
        </c:scaling>
        <c:delete val="0"/>
        <c:axPos val="l"/>
        <c:title>
          <c:tx>
            <c:strRef>
              <c:f>Correlation!$B$3</c:f>
              <c:strCache>
                <c:ptCount val="1"/>
                <c:pt idx="0">
                  <c:v>Y2 Lead Time (days)</c:v>
                </c:pt>
              </c:strCache>
            </c:strRef>
          </c:tx>
          <c:overlay val="0"/>
          <c:txPr>
            <a:bodyPr rot="-5400000" vert="horz"/>
            <a:lstStyle/>
            <a:p>
              <a:pPr>
                <a:defRPr/>
              </a:pPr>
              <a:endParaRPr lang="en-US"/>
            </a:p>
          </c:txPr>
        </c:title>
        <c:numFmt formatCode="General" sourceLinked="1"/>
        <c:majorTickMark val="out"/>
        <c:minorTickMark val="none"/>
        <c:tickLblPos val="nextTo"/>
        <c:crossAx val="780678760"/>
        <c:crosses val="autoZero"/>
        <c:crossBetween val="midCat"/>
      </c:valAx>
    </c:plotArea>
    <c:legend>
      <c:legendPos val="r"/>
      <c:layout>
        <c:manualLayout>
          <c:xMode val="edge"/>
          <c:yMode val="edge"/>
          <c:x val="0.62152763143049949"/>
          <c:y val="0.18866448512117803"/>
          <c:w val="0.26395844269466318"/>
          <c:h val="0.16743438320209975"/>
        </c:manualLayout>
      </c:layout>
      <c:overlay val="0"/>
    </c:legend>
    <c:plotVisOnly val="1"/>
    <c:dispBlanksAs val="gap"/>
    <c:showDLblsOverMax val="0"/>
  </c:chart>
  <c:spPr>
    <a:ln>
      <a:noFill/>
    </a:ln>
  </c:spPr>
  <c:txPr>
    <a:bodyPr/>
    <a:lstStyle/>
    <a:p>
      <a:pPr>
        <a:defRPr>
          <a:latin typeface="+mn-lt"/>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X9 Amount (£k)  Residual Plot</a:t>
            </a:r>
          </a:p>
        </c:rich>
      </c:tx>
      <c:overlay val="0"/>
    </c:title>
    <c:autoTitleDeleted val="0"/>
    <c:plotArea>
      <c:layout/>
      <c:scatterChart>
        <c:scatterStyle val="lineMarker"/>
        <c:varyColors val="0"/>
        <c:ser>
          <c:idx val="0"/>
          <c:order val="0"/>
          <c:spPr>
            <a:ln w="19050">
              <a:noFill/>
            </a:ln>
          </c:spPr>
          <c:xVal>
            <c:numRef>
              <c:f>Regression!$B$4:$B$503</c:f>
              <c:numCache>
                <c:formatCode>General</c:formatCode>
                <c:ptCount val="500"/>
                <c:pt idx="0">
                  <c:v>38</c:v>
                </c:pt>
                <c:pt idx="1">
                  <c:v>51</c:v>
                </c:pt>
                <c:pt idx="2">
                  <c:v>23</c:v>
                </c:pt>
                <c:pt idx="3">
                  <c:v>46</c:v>
                </c:pt>
                <c:pt idx="4">
                  <c:v>49</c:v>
                </c:pt>
                <c:pt idx="5">
                  <c:v>36</c:v>
                </c:pt>
                <c:pt idx="6">
                  <c:v>84</c:v>
                </c:pt>
                <c:pt idx="7">
                  <c:v>37</c:v>
                </c:pt>
                <c:pt idx="8">
                  <c:v>52</c:v>
                </c:pt>
                <c:pt idx="9">
                  <c:v>53</c:v>
                </c:pt>
                <c:pt idx="10">
                  <c:v>24</c:v>
                </c:pt>
                <c:pt idx="11">
                  <c:v>35</c:v>
                </c:pt>
                <c:pt idx="12">
                  <c:v>28</c:v>
                </c:pt>
                <c:pt idx="13">
                  <c:v>26</c:v>
                </c:pt>
                <c:pt idx="14">
                  <c:v>43</c:v>
                </c:pt>
                <c:pt idx="15">
                  <c:v>51</c:v>
                </c:pt>
                <c:pt idx="16">
                  <c:v>63</c:v>
                </c:pt>
                <c:pt idx="17">
                  <c:v>59</c:v>
                </c:pt>
                <c:pt idx="18">
                  <c:v>53</c:v>
                </c:pt>
                <c:pt idx="19">
                  <c:v>55</c:v>
                </c:pt>
                <c:pt idx="20">
                  <c:v>71</c:v>
                </c:pt>
                <c:pt idx="21">
                  <c:v>33</c:v>
                </c:pt>
                <c:pt idx="22">
                  <c:v>56</c:v>
                </c:pt>
                <c:pt idx="23">
                  <c:v>45</c:v>
                </c:pt>
                <c:pt idx="24">
                  <c:v>24</c:v>
                </c:pt>
                <c:pt idx="25">
                  <c:v>36</c:v>
                </c:pt>
                <c:pt idx="26">
                  <c:v>65</c:v>
                </c:pt>
                <c:pt idx="27">
                  <c:v>43</c:v>
                </c:pt>
                <c:pt idx="28">
                  <c:v>24</c:v>
                </c:pt>
                <c:pt idx="29">
                  <c:v>56</c:v>
                </c:pt>
                <c:pt idx="30">
                  <c:v>25</c:v>
                </c:pt>
                <c:pt idx="31">
                  <c:v>92</c:v>
                </c:pt>
                <c:pt idx="32">
                  <c:v>39</c:v>
                </c:pt>
                <c:pt idx="33">
                  <c:v>18</c:v>
                </c:pt>
                <c:pt idx="34">
                  <c:v>31</c:v>
                </c:pt>
                <c:pt idx="35">
                  <c:v>47</c:v>
                </c:pt>
                <c:pt idx="36">
                  <c:v>142</c:v>
                </c:pt>
                <c:pt idx="37">
                  <c:v>46</c:v>
                </c:pt>
                <c:pt idx="38">
                  <c:v>53</c:v>
                </c:pt>
                <c:pt idx="39">
                  <c:v>55</c:v>
                </c:pt>
                <c:pt idx="40">
                  <c:v>67</c:v>
                </c:pt>
                <c:pt idx="41">
                  <c:v>35</c:v>
                </c:pt>
                <c:pt idx="42">
                  <c:v>27</c:v>
                </c:pt>
                <c:pt idx="43">
                  <c:v>16</c:v>
                </c:pt>
                <c:pt idx="44">
                  <c:v>21</c:v>
                </c:pt>
                <c:pt idx="45">
                  <c:v>69</c:v>
                </c:pt>
                <c:pt idx="46">
                  <c:v>30</c:v>
                </c:pt>
                <c:pt idx="47">
                  <c:v>95</c:v>
                </c:pt>
                <c:pt idx="48">
                  <c:v>28</c:v>
                </c:pt>
                <c:pt idx="49">
                  <c:v>46</c:v>
                </c:pt>
                <c:pt idx="50">
                  <c:v>72</c:v>
                </c:pt>
                <c:pt idx="51">
                  <c:v>53</c:v>
                </c:pt>
                <c:pt idx="52">
                  <c:v>59</c:v>
                </c:pt>
                <c:pt idx="53">
                  <c:v>23</c:v>
                </c:pt>
                <c:pt idx="54">
                  <c:v>27</c:v>
                </c:pt>
                <c:pt idx="55">
                  <c:v>41</c:v>
                </c:pt>
                <c:pt idx="56">
                  <c:v>62</c:v>
                </c:pt>
                <c:pt idx="57">
                  <c:v>44</c:v>
                </c:pt>
                <c:pt idx="58">
                  <c:v>45</c:v>
                </c:pt>
                <c:pt idx="59">
                  <c:v>18</c:v>
                </c:pt>
                <c:pt idx="60">
                  <c:v>36</c:v>
                </c:pt>
                <c:pt idx="61">
                  <c:v>18</c:v>
                </c:pt>
                <c:pt idx="62">
                  <c:v>105</c:v>
                </c:pt>
                <c:pt idx="63">
                  <c:v>51</c:v>
                </c:pt>
                <c:pt idx="64">
                  <c:v>62</c:v>
                </c:pt>
                <c:pt idx="65">
                  <c:v>64</c:v>
                </c:pt>
                <c:pt idx="66">
                  <c:v>45</c:v>
                </c:pt>
                <c:pt idx="67">
                  <c:v>59</c:v>
                </c:pt>
                <c:pt idx="68">
                  <c:v>18</c:v>
                </c:pt>
                <c:pt idx="69">
                  <c:v>51</c:v>
                </c:pt>
                <c:pt idx="70">
                  <c:v>64</c:v>
                </c:pt>
                <c:pt idx="71">
                  <c:v>45</c:v>
                </c:pt>
                <c:pt idx="72">
                  <c:v>35</c:v>
                </c:pt>
                <c:pt idx="73">
                  <c:v>32</c:v>
                </c:pt>
                <c:pt idx="74">
                  <c:v>37</c:v>
                </c:pt>
                <c:pt idx="75">
                  <c:v>42</c:v>
                </c:pt>
                <c:pt idx="76">
                  <c:v>54</c:v>
                </c:pt>
                <c:pt idx="77">
                  <c:v>70</c:v>
                </c:pt>
                <c:pt idx="78">
                  <c:v>68</c:v>
                </c:pt>
                <c:pt idx="79">
                  <c:v>42</c:v>
                </c:pt>
                <c:pt idx="80">
                  <c:v>83</c:v>
                </c:pt>
                <c:pt idx="81">
                  <c:v>55</c:v>
                </c:pt>
                <c:pt idx="82">
                  <c:v>38</c:v>
                </c:pt>
                <c:pt idx="83">
                  <c:v>37</c:v>
                </c:pt>
                <c:pt idx="84">
                  <c:v>45</c:v>
                </c:pt>
                <c:pt idx="85">
                  <c:v>70</c:v>
                </c:pt>
                <c:pt idx="86">
                  <c:v>39</c:v>
                </c:pt>
                <c:pt idx="87">
                  <c:v>17</c:v>
                </c:pt>
                <c:pt idx="88">
                  <c:v>52</c:v>
                </c:pt>
                <c:pt idx="89">
                  <c:v>63</c:v>
                </c:pt>
                <c:pt idx="90">
                  <c:v>59</c:v>
                </c:pt>
                <c:pt idx="91">
                  <c:v>56</c:v>
                </c:pt>
                <c:pt idx="92">
                  <c:v>31</c:v>
                </c:pt>
                <c:pt idx="93">
                  <c:v>78</c:v>
                </c:pt>
                <c:pt idx="94">
                  <c:v>27</c:v>
                </c:pt>
                <c:pt idx="95">
                  <c:v>72</c:v>
                </c:pt>
                <c:pt idx="96">
                  <c:v>70</c:v>
                </c:pt>
                <c:pt idx="97">
                  <c:v>47</c:v>
                </c:pt>
                <c:pt idx="98">
                  <c:v>72</c:v>
                </c:pt>
                <c:pt idx="99">
                  <c:v>55</c:v>
                </c:pt>
                <c:pt idx="100">
                  <c:v>74</c:v>
                </c:pt>
                <c:pt idx="101">
                  <c:v>87</c:v>
                </c:pt>
                <c:pt idx="102">
                  <c:v>15</c:v>
                </c:pt>
                <c:pt idx="103">
                  <c:v>60</c:v>
                </c:pt>
                <c:pt idx="104">
                  <c:v>41</c:v>
                </c:pt>
                <c:pt idx="105">
                  <c:v>35</c:v>
                </c:pt>
                <c:pt idx="106">
                  <c:v>24</c:v>
                </c:pt>
                <c:pt idx="107">
                  <c:v>48</c:v>
                </c:pt>
                <c:pt idx="108">
                  <c:v>73</c:v>
                </c:pt>
                <c:pt idx="109">
                  <c:v>17</c:v>
                </c:pt>
                <c:pt idx="110">
                  <c:v>60</c:v>
                </c:pt>
                <c:pt idx="111">
                  <c:v>48</c:v>
                </c:pt>
                <c:pt idx="112">
                  <c:v>55</c:v>
                </c:pt>
                <c:pt idx="113">
                  <c:v>71</c:v>
                </c:pt>
                <c:pt idx="114">
                  <c:v>39</c:v>
                </c:pt>
                <c:pt idx="115">
                  <c:v>41</c:v>
                </c:pt>
                <c:pt idx="116">
                  <c:v>53</c:v>
                </c:pt>
                <c:pt idx="117">
                  <c:v>61</c:v>
                </c:pt>
                <c:pt idx="118">
                  <c:v>55</c:v>
                </c:pt>
                <c:pt idx="119">
                  <c:v>84</c:v>
                </c:pt>
                <c:pt idx="120">
                  <c:v>40</c:v>
                </c:pt>
                <c:pt idx="121">
                  <c:v>48</c:v>
                </c:pt>
                <c:pt idx="122">
                  <c:v>43</c:v>
                </c:pt>
                <c:pt idx="123">
                  <c:v>47</c:v>
                </c:pt>
                <c:pt idx="124">
                  <c:v>51</c:v>
                </c:pt>
                <c:pt idx="125">
                  <c:v>54</c:v>
                </c:pt>
                <c:pt idx="126">
                  <c:v>45</c:v>
                </c:pt>
                <c:pt idx="127">
                  <c:v>25</c:v>
                </c:pt>
                <c:pt idx="128">
                  <c:v>52</c:v>
                </c:pt>
                <c:pt idx="129">
                  <c:v>27</c:v>
                </c:pt>
                <c:pt idx="130">
                  <c:v>35</c:v>
                </c:pt>
                <c:pt idx="131">
                  <c:v>37</c:v>
                </c:pt>
                <c:pt idx="132">
                  <c:v>31</c:v>
                </c:pt>
                <c:pt idx="133">
                  <c:v>17</c:v>
                </c:pt>
                <c:pt idx="134">
                  <c:v>61</c:v>
                </c:pt>
                <c:pt idx="135">
                  <c:v>44</c:v>
                </c:pt>
                <c:pt idx="136">
                  <c:v>45</c:v>
                </c:pt>
                <c:pt idx="137">
                  <c:v>27</c:v>
                </c:pt>
                <c:pt idx="138">
                  <c:v>47</c:v>
                </c:pt>
                <c:pt idx="139">
                  <c:v>33</c:v>
                </c:pt>
                <c:pt idx="140">
                  <c:v>65</c:v>
                </c:pt>
                <c:pt idx="141">
                  <c:v>69</c:v>
                </c:pt>
                <c:pt idx="142">
                  <c:v>17</c:v>
                </c:pt>
                <c:pt idx="143">
                  <c:v>56</c:v>
                </c:pt>
                <c:pt idx="144">
                  <c:v>95</c:v>
                </c:pt>
                <c:pt idx="145">
                  <c:v>52</c:v>
                </c:pt>
                <c:pt idx="146">
                  <c:v>43</c:v>
                </c:pt>
                <c:pt idx="147">
                  <c:v>45</c:v>
                </c:pt>
                <c:pt idx="148">
                  <c:v>83</c:v>
                </c:pt>
                <c:pt idx="149">
                  <c:v>80</c:v>
                </c:pt>
                <c:pt idx="150">
                  <c:v>30</c:v>
                </c:pt>
                <c:pt idx="151">
                  <c:v>70</c:v>
                </c:pt>
                <c:pt idx="152">
                  <c:v>50</c:v>
                </c:pt>
                <c:pt idx="153">
                  <c:v>76</c:v>
                </c:pt>
                <c:pt idx="154">
                  <c:v>75</c:v>
                </c:pt>
                <c:pt idx="155">
                  <c:v>23</c:v>
                </c:pt>
                <c:pt idx="156">
                  <c:v>79</c:v>
                </c:pt>
                <c:pt idx="157">
                  <c:v>57</c:v>
                </c:pt>
                <c:pt idx="158">
                  <c:v>21</c:v>
                </c:pt>
                <c:pt idx="159">
                  <c:v>70</c:v>
                </c:pt>
                <c:pt idx="160">
                  <c:v>71</c:v>
                </c:pt>
                <c:pt idx="161">
                  <c:v>33</c:v>
                </c:pt>
                <c:pt idx="162">
                  <c:v>24</c:v>
                </c:pt>
                <c:pt idx="163">
                  <c:v>45</c:v>
                </c:pt>
                <c:pt idx="164">
                  <c:v>79</c:v>
                </c:pt>
                <c:pt idx="165">
                  <c:v>38</c:v>
                </c:pt>
                <c:pt idx="166">
                  <c:v>55</c:v>
                </c:pt>
                <c:pt idx="167">
                  <c:v>71</c:v>
                </c:pt>
                <c:pt idx="168">
                  <c:v>27</c:v>
                </c:pt>
                <c:pt idx="169">
                  <c:v>60</c:v>
                </c:pt>
                <c:pt idx="170">
                  <c:v>60</c:v>
                </c:pt>
                <c:pt idx="171">
                  <c:v>49</c:v>
                </c:pt>
                <c:pt idx="172">
                  <c:v>38</c:v>
                </c:pt>
                <c:pt idx="173">
                  <c:v>25</c:v>
                </c:pt>
                <c:pt idx="174">
                  <c:v>39</c:v>
                </c:pt>
                <c:pt idx="175">
                  <c:v>51</c:v>
                </c:pt>
                <c:pt idx="176">
                  <c:v>44</c:v>
                </c:pt>
                <c:pt idx="177">
                  <c:v>60</c:v>
                </c:pt>
                <c:pt idx="178">
                  <c:v>20</c:v>
                </c:pt>
                <c:pt idx="179">
                  <c:v>32</c:v>
                </c:pt>
                <c:pt idx="180">
                  <c:v>26</c:v>
                </c:pt>
                <c:pt idx="181">
                  <c:v>91</c:v>
                </c:pt>
                <c:pt idx="182">
                  <c:v>72</c:v>
                </c:pt>
                <c:pt idx="183">
                  <c:v>49</c:v>
                </c:pt>
                <c:pt idx="184">
                  <c:v>37</c:v>
                </c:pt>
                <c:pt idx="185">
                  <c:v>36</c:v>
                </c:pt>
                <c:pt idx="186">
                  <c:v>39</c:v>
                </c:pt>
                <c:pt idx="187">
                  <c:v>88</c:v>
                </c:pt>
                <c:pt idx="188">
                  <c:v>66</c:v>
                </c:pt>
                <c:pt idx="189">
                  <c:v>73</c:v>
                </c:pt>
                <c:pt idx="190">
                  <c:v>64</c:v>
                </c:pt>
                <c:pt idx="191">
                  <c:v>47</c:v>
                </c:pt>
                <c:pt idx="192">
                  <c:v>45</c:v>
                </c:pt>
                <c:pt idx="193">
                  <c:v>51</c:v>
                </c:pt>
                <c:pt idx="194">
                  <c:v>42</c:v>
                </c:pt>
                <c:pt idx="195">
                  <c:v>93</c:v>
                </c:pt>
                <c:pt idx="196">
                  <c:v>66</c:v>
                </c:pt>
                <c:pt idx="197">
                  <c:v>55</c:v>
                </c:pt>
                <c:pt idx="198">
                  <c:v>52</c:v>
                </c:pt>
                <c:pt idx="199">
                  <c:v>74</c:v>
                </c:pt>
                <c:pt idx="200">
                  <c:v>8</c:v>
                </c:pt>
                <c:pt idx="201">
                  <c:v>45</c:v>
                </c:pt>
                <c:pt idx="202">
                  <c:v>51</c:v>
                </c:pt>
                <c:pt idx="203">
                  <c:v>23</c:v>
                </c:pt>
                <c:pt idx="204">
                  <c:v>79</c:v>
                </c:pt>
                <c:pt idx="205">
                  <c:v>38</c:v>
                </c:pt>
                <c:pt idx="206">
                  <c:v>46</c:v>
                </c:pt>
                <c:pt idx="207">
                  <c:v>31</c:v>
                </c:pt>
                <c:pt idx="208">
                  <c:v>29</c:v>
                </c:pt>
                <c:pt idx="209">
                  <c:v>85</c:v>
                </c:pt>
                <c:pt idx="210">
                  <c:v>105</c:v>
                </c:pt>
                <c:pt idx="211">
                  <c:v>28</c:v>
                </c:pt>
                <c:pt idx="212">
                  <c:v>82</c:v>
                </c:pt>
                <c:pt idx="213">
                  <c:v>43</c:v>
                </c:pt>
                <c:pt idx="214">
                  <c:v>64</c:v>
                </c:pt>
                <c:pt idx="215">
                  <c:v>85</c:v>
                </c:pt>
                <c:pt idx="216">
                  <c:v>35</c:v>
                </c:pt>
                <c:pt idx="217">
                  <c:v>71</c:v>
                </c:pt>
                <c:pt idx="218">
                  <c:v>33</c:v>
                </c:pt>
                <c:pt idx="219">
                  <c:v>80</c:v>
                </c:pt>
                <c:pt idx="220">
                  <c:v>35</c:v>
                </c:pt>
                <c:pt idx="221">
                  <c:v>54</c:v>
                </c:pt>
                <c:pt idx="222">
                  <c:v>39</c:v>
                </c:pt>
                <c:pt idx="223">
                  <c:v>66</c:v>
                </c:pt>
                <c:pt idx="224">
                  <c:v>25</c:v>
                </c:pt>
                <c:pt idx="225">
                  <c:v>61</c:v>
                </c:pt>
                <c:pt idx="226">
                  <c:v>133</c:v>
                </c:pt>
                <c:pt idx="227">
                  <c:v>65</c:v>
                </c:pt>
                <c:pt idx="228">
                  <c:v>49</c:v>
                </c:pt>
                <c:pt idx="229">
                  <c:v>62</c:v>
                </c:pt>
                <c:pt idx="230">
                  <c:v>43</c:v>
                </c:pt>
                <c:pt idx="231">
                  <c:v>94</c:v>
                </c:pt>
                <c:pt idx="232">
                  <c:v>118</c:v>
                </c:pt>
                <c:pt idx="233">
                  <c:v>56</c:v>
                </c:pt>
                <c:pt idx="234">
                  <c:v>34</c:v>
                </c:pt>
                <c:pt idx="235">
                  <c:v>85</c:v>
                </c:pt>
                <c:pt idx="236">
                  <c:v>29</c:v>
                </c:pt>
                <c:pt idx="237">
                  <c:v>56</c:v>
                </c:pt>
                <c:pt idx="238">
                  <c:v>44</c:v>
                </c:pt>
                <c:pt idx="239">
                  <c:v>82</c:v>
                </c:pt>
                <c:pt idx="240">
                  <c:v>54</c:v>
                </c:pt>
                <c:pt idx="241">
                  <c:v>37</c:v>
                </c:pt>
                <c:pt idx="242">
                  <c:v>24</c:v>
                </c:pt>
                <c:pt idx="243">
                  <c:v>117</c:v>
                </c:pt>
                <c:pt idx="244">
                  <c:v>90</c:v>
                </c:pt>
                <c:pt idx="245">
                  <c:v>20</c:v>
                </c:pt>
                <c:pt idx="246">
                  <c:v>50</c:v>
                </c:pt>
                <c:pt idx="247">
                  <c:v>49</c:v>
                </c:pt>
                <c:pt idx="248">
                  <c:v>55</c:v>
                </c:pt>
                <c:pt idx="249">
                  <c:v>44</c:v>
                </c:pt>
                <c:pt idx="250">
                  <c:v>29</c:v>
                </c:pt>
                <c:pt idx="251">
                  <c:v>64</c:v>
                </c:pt>
                <c:pt idx="252">
                  <c:v>72</c:v>
                </c:pt>
                <c:pt idx="253">
                  <c:v>60</c:v>
                </c:pt>
                <c:pt idx="254">
                  <c:v>50</c:v>
                </c:pt>
                <c:pt idx="255">
                  <c:v>93</c:v>
                </c:pt>
                <c:pt idx="256">
                  <c:v>77</c:v>
                </c:pt>
                <c:pt idx="257">
                  <c:v>45</c:v>
                </c:pt>
                <c:pt idx="258">
                  <c:v>29</c:v>
                </c:pt>
                <c:pt idx="259">
                  <c:v>60</c:v>
                </c:pt>
                <c:pt idx="260">
                  <c:v>60</c:v>
                </c:pt>
                <c:pt idx="261">
                  <c:v>44</c:v>
                </c:pt>
                <c:pt idx="262">
                  <c:v>25</c:v>
                </c:pt>
                <c:pt idx="263">
                  <c:v>35</c:v>
                </c:pt>
                <c:pt idx="264">
                  <c:v>26</c:v>
                </c:pt>
                <c:pt idx="265">
                  <c:v>23</c:v>
                </c:pt>
                <c:pt idx="266">
                  <c:v>48</c:v>
                </c:pt>
                <c:pt idx="267">
                  <c:v>86</c:v>
                </c:pt>
                <c:pt idx="268">
                  <c:v>50</c:v>
                </c:pt>
                <c:pt idx="269">
                  <c:v>48</c:v>
                </c:pt>
                <c:pt idx="270">
                  <c:v>100</c:v>
                </c:pt>
                <c:pt idx="271">
                  <c:v>57</c:v>
                </c:pt>
                <c:pt idx="272">
                  <c:v>55</c:v>
                </c:pt>
                <c:pt idx="273">
                  <c:v>71</c:v>
                </c:pt>
                <c:pt idx="274">
                  <c:v>64</c:v>
                </c:pt>
                <c:pt idx="275">
                  <c:v>15</c:v>
                </c:pt>
                <c:pt idx="276">
                  <c:v>72</c:v>
                </c:pt>
                <c:pt idx="277">
                  <c:v>24</c:v>
                </c:pt>
                <c:pt idx="278">
                  <c:v>36</c:v>
                </c:pt>
                <c:pt idx="279">
                  <c:v>101</c:v>
                </c:pt>
                <c:pt idx="280">
                  <c:v>28</c:v>
                </c:pt>
                <c:pt idx="281">
                  <c:v>35</c:v>
                </c:pt>
                <c:pt idx="282">
                  <c:v>80</c:v>
                </c:pt>
                <c:pt idx="283">
                  <c:v>56</c:v>
                </c:pt>
                <c:pt idx="284">
                  <c:v>55</c:v>
                </c:pt>
                <c:pt idx="285">
                  <c:v>72</c:v>
                </c:pt>
                <c:pt idx="286">
                  <c:v>79</c:v>
                </c:pt>
                <c:pt idx="287">
                  <c:v>47</c:v>
                </c:pt>
                <c:pt idx="288">
                  <c:v>35</c:v>
                </c:pt>
                <c:pt idx="289">
                  <c:v>101</c:v>
                </c:pt>
                <c:pt idx="290">
                  <c:v>70</c:v>
                </c:pt>
                <c:pt idx="291">
                  <c:v>63</c:v>
                </c:pt>
                <c:pt idx="292">
                  <c:v>75</c:v>
                </c:pt>
                <c:pt idx="293">
                  <c:v>8</c:v>
                </c:pt>
                <c:pt idx="294">
                  <c:v>44</c:v>
                </c:pt>
                <c:pt idx="295">
                  <c:v>45</c:v>
                </c:pt>
                <c:pt idx="296">
                  <c:v>63</c:v>
                </c:pt>
                <c:pt idx="297">
                  <c:v>40</c:v>
                </c:pt>
                <c:pt idx="298">
                  <c:v>30</c:v>
                </c:pt>
                <c:pt idx="299">
                  <c:v>49</c:v>
                </c:pt>
                <c:pt idx="300">
                  <c:v>122</c:v>
                </c:pt>
                <c:pt idx="301">
                  <c:v>34</c:v>
                </c:pt>
                <c:pt idx="302">
                  <c:v>35</c:v>
                </c:pt>
                <c:pt idx="303">
                  <c:v>79</c:v>
                </c:pt>
                <c:pt idx="304">
                  <c:v>16</c:v>
                </c:pt>
                <c:pt idx="305">
                  <c:v>59</c:v>
                </c:pt>
                <c:pt idx="306">
                  <c:v>38</c:v>
                </c:pt>
                <c:pt idx="307">
                  <c:v>51</c:v>
                </c:pt>
                <c:pt idx="308">
                  <c:v>34</c:v>
                </c:pt>
                <c:pt idx="309">
                  <c:v>65</c:v>
                </c:pt>
                <c:pt idx="310">
                  <c:v>45</c:v>
                </c:pt>
                <c:pt idx="311">
                  <c:v>81</c:v>
                </c:pt>
                <c:pt idx="312">
                  <c:v>64</c:v>
                </c:pt>
                <c:pt idx="313">
                  <c:v>55</c:v>
                </c:pt>
                <c:pt idx="314">
                  <c:v>41</c:v>
                </c:pt>
                <c:pt idx="315">
                  <c:v>66</c:v>
                </c:pt>
                <c:pt idx="316">
                  <c:v>67</c:v>
                </c:pt>
                <c:pt idx="317">
                  <c:v>79</c:v>
                </c:pt>
                <c:pt idx="318">
                  <c:v>37</c:v>
                </c:pt>
                <c:pt idx="319">
                  <c:v>83</c:v>
                </c:pt>
                <c:pt idx="320">
                  <c:v>39</c:v>
                </c:pt>
                <c:pt idx="321">
                  <c:v>55</c:v>
                </c:pt>
                <c:pt idx="322">
                  <c:v>32</c:v>
                </c:pt>
                <c:pt idx="323">
                  <c:v>43</c:v>
                </c:pt>
                <c:pt idx="324">
                  <c:v>39</c:v>
                </c:pt>
                <c:pt idx="325">
                  <c:v>55</c:v>
                </c:pt>
                <c:pt idx="326">
                  <c:v>61</c:v>
                </c:pt>
                <c:pt idx="327">
                  <c:v>63</c:v>
                </c:pt>
                <c:pt idx="328">
                  <c:v>79</c:v>
                </c:pt>
                <c:pt idx="329">
                  <c:v>56</c:v>
                </c:pt>
                <c:pt idx="330">
                  <c:v>30</c:v>
                </c:pt>
                <c:pt idx="331">
                  <c:v>60</c:v>
                </c:pt>
                <c:pt idx="332">
                  <c:v>30</c:v>
                </c:pt>
                <c:pt idx="333">
                  <c:v>24</c:v>
                </c:pt>
                <c:pt idx="334">
                  <c:v>17</c:v>
                </c:pt>
                <c:pt idx="335">
                  <c:v>81</c:v>
                </c:pt>
                <c:pt idx="336">
                  <c:v>33</c:v>
                </c:pt>
                <c:pt idx="337">
                  <c:v>54</c:v>
                </c:pt>
                <c:pt idx="338">
                  <c:v>55</c:v>
                </c:pt>
                <c:pt idx="339">
                  <c:v>45</c:v>
                </c:pt>
                <c:pt idx="340">
                  <c:v>65</c:v>
                </c:pt>
                <c:pt idx="341">
                  <c:v>49</c:v>
                </c:pt>
                <c:pt idx="342">
                  <c:v>37</c:v>
                </c:pt>
                <c:pt idx="343">
                  <c:v>26</c:v>
                </c:pt>
                <c:pt idx="344">
                  <c:v>33</c:v>
                </c:pt>
                <c:pt idx="345">
                  <c:v>100</c:v>
                </c:pt>
                <c:pt idx="346">
                  <c:v>19</c:v>
                </c:pt>
                <c:pt idx="347">
                  <c:v>27</c:v>
                </c:pt>
                <c:pt idx="348">
                  <c:v>41</c:v>
                </c:pt>
                <c:pt idx="349">
                  <c:v>43</c:v>
                </c:pt>
                <c:pt idx="350">
                  <c:v>81</c:v>
                </c:pt>
                <c:pt idx="351">
                  <c:v>50</c:v>
                </c:pt>
                <c:pt idx="352">
                  <c:v>70</c:v>
                </c:pt>
                <c:pt idx="353">
                  <c:v>41</c:v>
                </c:pt>
                <c:pt idx="354">
                  <c:v>34</c:v>
                </c:pt>
                <c:pt idx="355">
                  <c:v>45</c:v>
                </c:pt>
                <c:pt idx="356">
                  <c:v>78</c:v>
                </c:pt>
                <c:pt idx="357">
                  <c:v>54</c:v>
                </c:pt>
                <c:pt idx="358">
                  <c:v>45</c:v>
                </c:pt>
                <c:pt idx="359">
                  <c:v>56</c:v>
                </c:pt>
                <c:pt idx="360">
                  <c:v>31</c:v>
                </c:pt>
                <c:pt idx="361">
                  <c:v>71</c:v>
                </c:pt>
                <c:pt idx="362">
                  <c:v>55</c:v>
                </c:pt>
                <c:pt idx="363">
                  <c:v>26</c:v>
                </c:pt>
                <c:pt idx="364">
                  <c:v>76</c:v>
                </c:pt>
                <c:pt idx="365">
                  <c:v>45</c:v>
                </c:pt>
                <c:pt idx="366">
                  <c:v>48</c:v>
                </c:pt>
                <c:pt idx="367">
                  <c:v>39</c:v>
                </c:pt>
                <c:pt idx="368">
                  <c:v>57</c:v>
                </c:pt>
                <c:pt idx="369">
                  <c:v>53</c:v>
                </c:pt>
                <c:pt idx="370">
                  <c:v>55</c:v>
                </c:pt>
                <c:pt idx="371">
                  <c:v>39</c:v>
                </c:pt>
                <c:pt idx="372">
                  <c:v>48</c:v>
                </c:pt>
                <c:pt idx="373">
                  <c:v>88</c:v>
                </c:pt>
                <c:pt idx="374">
                  <c:v>59</c:v>
                </c:pt>
                <c:pt idx="375">
                  <c:v>37</c:v>
                </c:pt>
                <c:pt idx="376">
                  <c:v>51</c:v>
                </c:pt>
                <c:pt idx="377">
                  <c:v>27</c:v>
                </c:pt>
                <c:pt idx="378">
                  <c:v>72</c:v>
                </c:pt>
                <c:pt idx="379">
                  <c:v>39</c:v>
                </c:pt>
                <c:pt idx="380">
                  <c:v>66</c:v>
                </c:pt>
                <c:pt idx="381">
                  <c:v>70</c:v>
                </c:pt>
                <c:pt idx="382">
                  <c:v>36</c:v>
                </c:pt>
                <c:pt idx="383">
                  <c:v>31</c:v>
                </c:pt>
                <c:pt idx="384">
                  <c:v>39</c:v>
                </c:pt>
                <c:pt idx="385">
                  <c:v>48</c:v>
                </c:pt>
                <c:pt idx="386">
                  <c:v>55</c:v>
                </c:pt>
                <c:pt idx="387">
                  <c:v>57</c:v>
                </c:pt>
                <c:pt idx="388">
                  <c:v>36</c:v>
                </c:pt>
                <c:pt idx="389">
                  <c:v>72</c:v>
                </c:pt>
                <c:pt idx="390">
                  <c:v>31</c:v>
                </c:pt>
                <c:pt idx="391">
                  <c:v>35</c:v>
                </c:pt>
                <c:pt idx="392">
                  <c:v>48</c:v>
                </c:pt>
                <c:pt idx="393">
                  <c:v>27</c:v>
                </c:pt>
                <c:pt idx="394">
                  <c:v>31</c:v>
                </c:pt>
                <c:pt idx="395">
                  <c:v>53</c:v>
                </c:pt>
                <c:pt idx="396">
                  <c:v>34</c:v>
                </c:pt>
                <c:pt idx="397">
                  <c:v>36</c:v>
                </c:pt>
                <c:pt idx="398">
                  <c:v>11</c:v>
                </c:pt>
                <c:pt idx="399">
                  <c:v>22</c:v>
                </c:pt>
                <c:pt idx="400">
                  <c:v>33</c:v>
                </c:pt>
                <c:pt idx="401">
                  <c:v>55</c:v>
                </c:pt>
                <c:pt idx="402">
                  <c:v>47</c:v>
                </c:pt>
                <c:pt idx="403">
                  <c:v>41</c:v>
                </c:pt>
                <c:pt idx="404">
                  <c:v>85</c:v>
                </c:pt>
                <c:pt idx="405">
                  <c:v>67</c:v>
                </c:pt>
                <c:pt idx="406">
                  <c:v>43</c:v>
                </c:pt>
                <c:pt idx="407">
                  <c:v>57</c:v>
                </c:pt>
                <c:pt idx="408">
                  <c:v>27</c:v>
                </c:pt>
                <c:pt idx="409">
                  <c:v>54</c:v>
                </c:pt>
                <c:pt idx="410">
                  <c:v>86</c:v>
                </c:pt>
                <c:pt idx="411">
                  <c:v>64</c:v>
                </c:pt>
                <c:pt idx="412">
                  <c:v>33</c:v>
                </c:pt>
                <c:pt idx="413">
                  <c:v>44</c:v>
                </c:pt>
                <c:pt idx="414">
                  <c:v>39</c:v>
                </c:pt>
                <c:pt idx="415">
                  <c:v>67</c:v>
                </c:pt>
                <c:pt idx="416">
                  <c:v>26</c:v>
                </c:pt>
                <c:pt idx="417">
                  <c:v>71</c:v>
                </c:pt>
                <c:pt idx="418">
                  <c:v>45</c:v>
                </c:pt>
                <c:pt idx="419">
                  <c:v>69</c:v>
                </c:pt>
                <c:pt idx="420">
                  <c:v>68</c:v>
                </c:pt>
                <c:pt idx="421">
                  <c:v>44</c:v>
                </c:pt>
                <c:pt idx="422">
                  <c:v>53</c:v>
                </c:pt>
                <c:pt idx="423">
                  <c:v>65</c:v>
                </c:pt>
                <c:pt idx="424">
                  <c:v>39</c:v>
                </c:pt>
                <c:pt idx="425">
                  <c:v>88</c:v>
                </c:pt>
                <c:pt idx="426">
                  <c:v>56</c:v>
                </c:pt>
                <c:pt idx="427">
                  <c:v>55</c:v>
                </c:pt>
                <c:pt idx="428">
                  <c:v>42</c:v>
                </c:pt>
                <c:pt idx="429">
                  <c:v>27</c:v>
                </c:pt>
                <c:pt idx="430">
                  <c:v>36</c:v>
                </c:pt>
                <c:pt idx="431">
                  <c:v>31</c:v>
                </c:pt>
                <c:pt idx="432">
                  <c:v>19</c:v>
                </c:pt>
                <c:pt idx="433">
                  <c:v>107</c:v>
                </c:pt>
                <c:pt idx="434">
                  <c:v>111</c:v>
                </c:pt>
                <c:pt idx="435">
                  <c:v>73</c:v>
                </c:pt>
                <c:pt idx="436">
                  <c:v>34</c:v>
                </c:pt>
                <c:pt idx="437">
                  <c:v>47</c:v>
                </c:pt>
                <c:pt idx="438">
                  <c:v>15</c:v>
                </c:pt>
                <c:pt idx="439">
                  <c:v>41</c:v>
                </c:pt>
                <c:pt idx="440">
                  <c:v>92</c:v>
                </c:pt>
                <c:pt idx="441">
                  <c:v>55</c:v>
                </c:pt>
                <c:pt idx="442">
                  <c:v>45</c:v>
                </c:pt>
                <c:pt idx="443">
                  <c:v>48</c:v>
                </c:pt>
                <c:pt idx="444">
                  <c:v>33</c:v>
                </c:pt>
                <c:pt idx="445">
                  <c:v>84</c:v>
                </c:pt>
                <c:pt idx="446">
                  <c:v>47</c:v>
                </c:pt>
                <c:pt idx="447">
                  <c:v>25</c:v>
                </c:pt>
                <c:pt idx="448">
                  <c:v>68</c:v>
                </c:pt>
                <c:pt idx="449">
                  <c:v>16</c:v>
                </c:pt>
                <c:pt idx="450">
                  <c:v>74</c:v>
                </c:pt>
                <c:pt idx="451">
                  <c:v>98</c:v>
                </c:pt>
                <c:pt idx="452">
                  <c:v>36</c:v>
                </c:pt>
                <c:pt idx="453">
                  <c:v>15</c:v>
                </c:pt>
                <c:pt idx="454">
                  <c:v>62</c:v>
                </c:pt>
                <c:pt idx="455">
                  <c:v>25</c:v>
                </c:pt>
                <c:pt idx="456">
                  <c:v>66</c:v>
                </c:pt>
                <c:pt idx="457">
                  <c:v>71</c:v>
                </c:pt>
                <c:pt idx="458">
                  <c:v>84</c:v>
                </c:pt>
                <c:pt idx="459">
                  <c:v>73</c:v>
                </c:pt>
                <c:pt idx="460">
                  <c:v>76</c:v>
                </c:pt>
                <c:pt idx="461">
                  <c:v>35</c:v>
                </c:pt>
                <c:pt idx="462">
                  <c:v>41</c:v>
                </c:pt>
                <c:pt idx="463">
                  <c:v>42</c:v>
                </c:pt>
                <c:pt idx="464">
                  <c:v>83</c:v>
                </c:pt>
                <c:pt idx="465">
                  <c:v>55</c:v>
                </c:pt>
                <c:pt idx="466">
                  <c:v>61</c:v>
                </c:pt>
                <c:pt idx="467">
                  <c:v>84</c:v>
                </c:pt>
                <c:pt idx="468">
                  <c:v>35</c:v>
                </c:pt>
                <c:pt idx="469">
                  <c:v>75</c:v>
                </c:pt>
                <c:pt idx="470">
                  <c:v>49</c:v>
                </c:pt>
                <c:pt idx="471">
                  <c:v>37</c:v>
                </c:pt>
                <c:pt idx="472">
                  <c:v>52</c:v>
                </c:pt>
                <c:pt idx="473">
                  <c:v>73</c:v>
                </c:pt>
                <c:pt idx="474">
                  <c:v>45</c:v>
                </c:pt>
                <c:pt idx="475">
                  <c:v>22</c:v>
                </c:pt>
                <c:pt idx="476">
                  <c:v>47</c:v>
                </c:pt>
                <c:pt idx="477">
                  <c:v>44</c:v>
                </c:pt>
                <c:pt idx="478">
                  <c:v>39</c:v>
                </c:pt>
                <c:pt idx="479">
                  <c:v>56</c:v>
                </c:pt>
                <c:pt idx="480">
                  <c:v>34</c:v>
                </c:pt>
                <c:pt idx="481">
                  <c:v>57</c:v>
                </c:pt>
                <c:pt idx="482">
                  <c:v>51</c:v>
                </c:pt>
                <c:pt idx="483">
                  <c:v>44</c:v>
                </c:pt>
                <c:pt idx="484">
                  <c:v>30</c:v>
                </c:pt>
                <c:pt idx="485">
                  <c:v>32</c:v>
                </c:pt>
                <c:pt idx="486">
                  <c:v>73</c:v>
                </c:pt>
                <c:pt idx="487">
                  <c:v>82</c:v>
                </c:pt>
                <c:pt idx="488">
                  <c:v>83</c:v>
                </c:pt>
                <c:pt idx="489">
                  <c:v>46</c:v>
                </c:pt>
                <c:pt idx="490">
                  <c:v>25</c:v>
                </c:pt>
                <c:pt idx="491">
                  <c:v>48</c:v>
                </c:pt>
                <c:pt idx="492">
                  <c:v>37</c:v>
                </c:pt>
                <c:pt idx="493">
                  <c:v>33</c:v>
                </c:pt>
                <c:pt idx="494">
                  <c:v>61</c:v>
                </c:pt>
                <c:pt idx="495">
                  <c:v>48</c:v>
                </c:pt>
                <c:pt idx="496">
                  <c:v>135</c:v>
                </c:pt>
                <c:pt idx="497">
                  <c:v>72</c:v>
                </c:pt>
                <c:pt idx="498">
                  <c:v>32</c:v>
                </c:pt>
                <c:pt idx="499">
                  <c:v>76</c:v>
                </c:pt>
              </c:numCache>
            </c:numRef>
          </c:xVal>
          <c:yVal>
            <c:numRef>
              <c:f>Regression!$H$50:$H$549</c:f>
              <c:numCache>
                <c:formatCode>General</c:formatCode>
                <c:ptCount val="500"/>
                <c:pt idx="0">
                  <c:v>-0.44305561592102194</c:v>
                </c:pt>
                <c:pt idx="1">
                  <c:v>1.2924754841435728</c:v>
                </c:pt>
                <c:pt idx="2">
                  <c:v>-0.36506008956275426</c:v>
                </c:pt>
                <c:pt idx="3">
                  <c:v>-0.29051396202392077</c:v>
                </c:pt>
                <c:pt idx="4">
                  <c:v>-0.29200776143802631</c:v>
                </c:pt>
                <c:pt idx="5">
                  <c:v>-0.52805833935859958</c:v>
                </c:pt>
                <c:pt idx="6">
                  <c:v>-0.46596054027065037</c:v>
                </c:pt>
                <c:pt idx="7">
                  <c:v>-0.44255768278298646</c:v>
                </c:pt>
                <c:pt idx="8">
                  <c:v>-0.45002667985351774</c:v>
                </c:pt>
                <c:pt idx="9">
                  <c:v>-0.45052461299155233</c:v>
                </c:pt>
                <c:pt idx="10">
                  <c:v>-0.43608455198852702</c:v>
                </c:pt>
                <c:pt idx="11">
                  <c:v>1.3864410040657873</c:v>
                </c:pt>
                <c:pt idx="12">
                  <c:v>-0.52407487425431576</c:v>
                </c:pt>
                <c:pt idx="13">
                  <c:v>0.87596981973817289</c:v>
                </c:pt>
                <c:pt idx="14">
                  <c:v>0.62498124767653795</c:v>
                </c:pt>
                <c:pt idx="15">
                  <c:v>-0.37900221742774587</c:v>
                </c:pt>
                <c:pt idx="16">
                  <c:v>-0.62750112379920253</c:v>
                </c:pt>
                <c:pt idx="17">
                  <c:v>2.2884920190392899</c:v>
                </c:pt>
                <c:pt idx="18">
                  <c:v>1.2914796178675019</c:v>
                </c:pt>
                <c:pt idx="19">
                  <c:v>-0.38099394997988778</c:v>
                </c:pt>
                <c:pt idx="20">
                  <c:v>-0.54548599918983776</c:v>
                </c:pt>
                <c:pt idx="21">
                  <c:v>-0.52656453994449315</c:v>
                </c:pt>
                <c:pt idx="22">
                  <c:v>0.7199787670216371</c:v>
                </c:pt>
                <c:pt idx="23">
                  <c:v>1.3814616726854343</c:v>
                </c:pt>
                <c:pt idx="24">
                  <c:v>-0.36555802270078974</c:v>
                </c:pt>
                <c:pt idx="25">
                  <c:v>-0.44205974964495098</c:v>
                </c:pt>
                <c:pt idx="26">
                  <c:v>1.7154973687793187</c:v>
                </c:pt>
                <c:pt idx="27">
                  <c:v>2.2964589492478567</c:v>
                </c:pt>
                <c:pt idx="28">
                  <c:v>1.3919182685841776</c:v>
                </c:pt>
                <c:pt idx="29">
                  <c:v>-0.53801700211930736</c:v>
                </c:pt>
                <c:pt idx="30">
                  <c:v>1.3054217457324935</c:v>
                </c:pt>
                <c:pt idx="31">
                  <c:v>-0.64194118480222961</c:v>
                </c:pt>
                <c:pt idx="32">
                  <c:v>-0.44355354905905742</c:v>
                </c:pt>
                <c:pt idx="33">
                  <c:v>-0.43309695316031416</c:v>
                </c:pt>
                <c:pt idx="34">
                  <c:v>0.38843273661792921</c:v>
                </c:pt>
                <c:pt idx="35">
                  <c:v>-0.29101189516195625</c:v>
                </c:pt>
                <c:pt idx="36">
                  <c:v>-0.42431413298896636</c:v>
                </c:pt>
                <c:pt idx="37">
                  <c:v>0.38096373954739882</c:v>
                </c:pt>
                <c:pt idx="38">
                  <c:v>-5.1475785275134633E-2</c:v>
                </c:pt>
                <c:pt idx="39">
                  <c:v>0.72047670015967258</c:v>
                </c:pt>
                <c:pt idx="40">
                  <c:v>0.85555456107872185</c:v>
                </c:pt>
                <c:pt idx="41">
                  <c:v>0.62896471278082</c:v>
                </c:pt>
                <c:pt idx="42">
                  <c:v>-0.36705182211489618</c:v>
                </c:pt>
                <c:pt idx="43">
                  <c:v>-0.2755759678828591</c:v>
                </c:pt>
                <c:pt idx="44">
                  <c:v>1.3934120679982831</c:v>
                </c:pt>
                <c:pt idx="45">
                  <c:v>-0.38796501391238269</c:v>
                </c:pt>
                <c:pt idx="46">
                  <c:v>-0.439072150816739</c:v>
                </c:pt>
                <c:pt idx="47">
                  <c:v>0.70055937463825702</c:v>
                </c:pt>
                <c:pt idx="48">
                  <c:v>-0.43807628454066805</c:v>
                </c:pt>
                <c:pt idx="49">
                  <c:v>1.2949651498337502</c:v>
                </c:pt>
                <c:pt idx="50">
                  <c:v>0.71201183681307079</c:v>
                </c:pt>
                <c:pt idx="51">
                  <c:v>-5.1475785275134633E-2</c:v>
                </c:pt>
                <c:pt idx="52">
                  <c:v>-0.3829856825320288</c:v>
                </c:pt>
                <c:pt idx="53">
                  <c:v>-0.36506008956275426</c:v>
                </c:pt>
                <c:pt idx="54">
                  <c:v>1.3904244691700711</c:v>
                </c:pt>
                <c:pt idx="55">
                  <c:v>0.72744776409216794</c:v>
                </c:pt>
                <c:pt idx="56">
                  <c:v>-0.38447948194613524</c:v>
                </c:pt>
                <c:pt idx="57">
                  <c:v>0.86700702325353607</c:v>
                </c:pt>
                <c:pt idx="58">
                  <c:v>0.623985381400467</c:v>
                </c:pt>
                <c:pt idx="59">
                  <c:v>0.73890022626698215</c:v>
                </c:pt>
                <c:pt idx="60">
                  <c:v>-0.37153322035721548</c:v>
                </c:pt>
                <c:pt idx="61">
                  <c:v>-0.51909554287396276</c:v>
                </c:pt>
                <c:pt idx="62">
                  <c:v>-0.47641713616939363</c:v>
                </c:pt>
                <c:pt idx="63">
                  <c:v>-0.37900221742774587</c:v>
                </c:pt>
                <c:pt idx="64">
                  <c:v>-0.54100460094752023</c:v>
                </c:pt>
                <c:pt idx="65">
                  <c:v>-0.45600187750994259</c:v>
                </c:pt>
                <c:pt idx="66">
                  <c:v>-0.376014618599533</c:v>
                </c:pt>
                <c:pt idx="67">
                  <c:v>0.37449060875293849</c:v>
                </c:pt>
                <c:pt idx="68">
                  <c:v>-0.51909554287396276</c:v>
                </c:pt>
                <c:pt idx="69">
                  <c:v>-0.53552733642912997</c:v>
                </c:pt>
                <c:pt idx="70">
                  <c:v>-0.21347816879490988</c:v>
                </c:pt>
                <c:pt idx="71">
                  <c:v>0.38146167268543429</c:v>
                </c:pt>
                <c:pt idx="72">
                  <c:v>-0.5275604062205641</c:v>
                </c:pt>
                <c:pt idx="73">
                  <c:v>0.38793480347989373</c:v>
                </c:pt>
                <c:pt idx="74">
                  <c:v>-0.52855627249663506</c:v>
                </c:pt>
                <c:pt idx="75">
                  <c:v>-0.28852222947177975</c:v>
                </c:pt>
                <c:pt idx="76">
                  <c:v>-0.3804960168418523</c:v>
                </c:pt>
                <c:pt idx="77">
                  <c:v>-0.30246435733676957</c:v>
                </c:pt>
                <c:pt idx="78">
                  <c:v>0.37000921051062008</c:v>
                </c:pt>
                <c:pt idx="79">
                  <c:v>-0.44504734847316385</c:v>
                </c:pt>
                <c:pt idx="80">
                  <c:v>0.36254021344008969</c:v>
                </c:pt>
                <c:pt idx="81">
                  <c:v>1.7204767001596726</c:v>
                </c:pt>
                <c:pt idx="82">
                  <c:v>-0.37252908663328554</c:v>
                </c:pt>
                <c:pt idx="83">
                  <c:v>-0.37203115349525095</c:v>
                </c:pt>
                <c:pt idx="84">
                  <c:v>-0.20401743917223758</c:v>
                </c:pt>
                <c:pt idx="85">
                  <c:v>-0.21646576762312186</c:v>
                </c:pt>
                <c:pt idx="86">
                  <c:v>-0.37302701977132102</c:v>
                </c:pt>
                <c:pt idx="87">
                  <c:v>-0.27607390102089457</c:v>
                </c:pt>
                <c:pt idx="88">
                  <c:v>-0.53602526956716545</c:v>
                </c:pt>
                <c:pt idx="89">
                  <c:v>-0.38497741508416983</c:v>
                </c:pt>
                <c:pt idx="90">
                  <c:v>-0.3829856825320288</c:v>
                </c:pt>
                <c:pt idx="91">
                  <c:v>-0.45201841240565876</c:v>
                </c:pt>
                <c:pt idx="92">
                  <c:v>0.73242709547252183</c:v>
                </c:pt>
                <c:pt idx="93">
                  <c:v>-0.4629729414424375</c:v>
                </c:pt>
                <c:pt idx="94">
                  <c:v>-0.36705182211489618</c:v>
                </c:pt>
                <c:pt idx="95">
                  <c:v>-0.30346022361284053</c:v>
                </c:pt>
                <c:pt idx="96">
                  <c:v>1.3690133442345491</c:v>
                </c:pt>
                <c:pt idx="97">
                  <c:v>-0.53353560387698895</c:v>
                </c:pt>
                <c:pt idx="98">
                  <c:v>-0.54598393232787323</c:v>
                </c:pt>
                <c:pt idx="99">
                  <c:v>-0.62351765869492048</c:v>
                </c:pt>
                <c:pt idx="100">
                  <c:v>-0.63297838831759279</c:v>
                </c:pt>
                <c:pt idx="101">
                  <c:v>-0.63945151911205222</c:v>
                </c:pt>
                <c:pt idx="102">
                  <c:v>-0.60360033317350492</c:v>
                </c:pt>
                <c:pt idx="103">
                  <c:v>-0.62600732438509699</c:v>
                </c:pt>
                <c:pt idx="104">
                  <c:v>0.38345340523757532</c:v>
                </c:pt>
                <c:pt idx="105">
                  <c:v>0.3864410040657873</c:v>
                </c:pt>
                <c:pt idx="106">
                  <c:v>0.39191826858417755</c:v>
                </c:pt>
                <c:pt idx="107">
                  <c:v>0.37996787327132786</c:v>
                </c:pt>
                <c:pt idx="108">
                  <c:v>0.36751954482044269</c:v>
                </c:pt>
                <c:pt idx="109">
                  <c:v>-0.27607390102089457</c:v>
                </c:pt>
                <c:pt idx="110">
                  <c:v>-0.62600732438509699</c:v>
                </c:pt>
                <c:pt idx="111">
                  <c:v>-0.29150982829999084</c:v>
                </c:pt>
                <c:pt idx="112">
                  <c:v>-0.45152047926762329</c:v>
                </c:pt>
                <c:pt idx="113">
                  <c:v>0.71250976995110626</c:v>
                </c:pt>
                <c:pt idx="114">
                  <c:v>-0.20102984034402471</c:v>
                </c:pt>
                <c:pt idx="115">
                  <c:v>0.72744776409216794</c:v>
                </c:pt>
                <c:pt idx="116">
                  <c:v>-0.53652320270520093</c:v>
                </c:pt>
                <c:pt idx="117">
                  <c:v>-0.45450807809583615</c:v>
                </c:pt>
                <c:pt idx="118">
                  <c:v>0.61900605002011222</c:v>
                </c:pt>
                <c:pt idx="119">
                  <c:v>-0.39543401098291309</c:v>
                </c:pt>
                <c:pt idx="120">
                  <c:v>-0.3735249529093565</c:v>
                </c:pt>
                <c:pt idx="121">
                  <c:v>0.86501529070139416</c:v>
                </c:pt>
                <c:pt idx="122">
                  <c:v>0.72645189781609742</c:v>
                </c:pt>
                <c:pt idx="123">
                  <c:v>1.2944672166957147</c:v>
                </c:pt>
                <c:pt idx="124">
                  <c:v>-0.53552733642912997</c:v>
                </c:pt>
                <c:pt idx="125">
                  <c:v>-0.53702113584323641</c:v>
                </c:pt>
                <c:pt idx="126">
                  <c:v>-0.44654114788727028</c:v>
                </c:pt>
                <c:pt idx="127">
                  <c:v>0.39142033544614208</c:v>
                </c:pt>
                <c:pt idx="128">
                  <c:v>-0.53602526956716545</c:v>
                </c:pt>
                <c:pt idx="129">
                  <c:v>0.73441882802466329</c:v>
                </c:pt>
                <c:pt idx="130">
                  <c:v>0.62896471278082</c:v>
                </c:pt>
                <c:pt idx="131">
                  <c:v>-0.28603256378160236</c:v>
                </c:pt>
                <c:pt idx="132">
                  <c:v>-0.36904355466703809</c:v>
                </c:pt>
                <c:pt idx="133">
                  <c:v>-0.60459619944957588</c:v>
                </c:pt>
                <c:pt idx="134">
                  <c:v>1.7174891013314602</c:v>
                </c:pt>
                <c:pt idx="135">
                  <c:v>0.72595396467806195</c:v>
                </c:pt>
                <c:pt idx="136">
                  <c:v>0.72545603154002647</c:v>
                </c:pt>
                <c:pt idx="137">
                  <c:v>-0.43757835140263346</c:v>
                </c:pt>
                <c:pt idx="138">
                  <c:v>-0.44753701416334124</c:v>
                </c:pt>
                <c:pt idx="139">
                  <c:v>-0.37003942094310904</c:v>
                </c:pt>
                <c:pt idx="140">
                  <c:v>-0.38597328136024078</c:v>
                </c:pt>
                <c:pt idx="141">
                  <c:v>0.61203498608761731</c:v>
                </c:pt>
                <c:pt idx="142">
                  <c:v>-0.60459619944957588</c:v>
                </c:pt>
                <c:pt idx="143">
                  <c:v>-0.45201841240565876</c:v>
                </c:pt>
                <c:pt idx="144">
                  <c:v>0.70055937463825702</c:v>
                </c:pt>
                <c:pt idx="145">
                  <c:v>0.62049984943421865</c:v>
                </c:pt>
                <c:pt idx="146">
                  <c:v>-0.28902016260981434</c:v>
                </c:pt>
                <c:pt idx="147">
                  <c:v>0.72545603154002647</c:v>
                </c:pt>
                <c:pt idx="148">
                  <c:v>-0.5514611968462626</c:v>
                </c:pt>
                <c:pt idx="149">
                  <c:v>0.70802837170878785</c:v>
                </c:pt>
                <c:pt idx="150">
                  <c:v>-0.439072150816739</c:v>
                </c:pt>
                <c:pt idx="151">
                  <c:v>-0.45898947633815457</c:v>
                </c:pt>
                <c:pt idx="152">
                  <c:v>-0.44903081357744679</c:v>
                </c:pt>
                <c:pt idx="153">
                  <c:v>-0.14892683716359745</c:v>
                </c:pt>
                <c:pt idx="154">
                  <c:v>-0.46147914202833107</c:v>
                </c:pt>
                <c:pt idx="155">
                  <c:v>-0.52158520856413926</c:v>
                </c:pt>
                <c:pt idx="156">
                  <c:v>-0.15042063657770299</c:v>
                </c:pt>
                <c:pt idx="157">
                  <c:v>-0.53851493525734284</c:v>
                </c:pt>
                <c:pt idx="158">
                  <c:v>-0.43459075257442059</c:v>
                </c:pt>
                <c:pt idx="159">
                  <c:v>-0.45898947633815457</c:v>
                </c:pt>
                <c:pt idx="160">
                  <c:v>-0.54548599918983776</c:v>
                </c:pt>
                <c:pt idx="161">
                  <c:v>-0.44056595023084455</c:v>
                </c:pt>
                <c:pt idx="162">
                  <c:v>-0.52208314170217474</c:v>
                </c:pt>
                <c:pt idx="163">
                  <c:v>1.3814616726854343</c:v>
                </c:pt>
                <c:pt idx="164">
                  <c:v>-0.54946946429412158</c:v>
                </c:pt>
                <c:pt idx="165">
                  <c:v>-0.13000537791825195</c:v>
                </c:pt>
                <c:pt idx="166">
                  <c:v>-0.53751906898127189</c:v>
                </c:pt>
                <c:pt idx="167">
                  <c:v>-0.45948740947619005</c:v>
                </c:pt>
                <c:pt idx="168">
                  <c:v>-0.43757835140263346</c:v>
                </c:pt>
                <c:pt idx="169">
                  <c:v>-0.14095990695503069</c:v>
                </c:pt>
                <c:pt idx="170">
                  <c:v>-0.45401014495780068</c:v>
                </c:pt>
                <c:pt idx="171">
                  <c:v>0.37946994013329238</c:v>
                </c:pt>
                <c:pt idx="172">
                  <c:v>-0.13000537791825195</c:v>
                </c:pt>
                <c:pt idx="173">
                  <c:v>-0.28005736612517751</c:v>
                </c:pt>
                <c:pt idx="174">
                  <c:v>-0.28702843005767331</c:v>
                </c:pt>
                <c:pt idx="175">
                  <c:v>-0.13647850871271228</c:v>
                </c:pt>
                <c:pt idx="176">
                  <c:v>0.38195960582346977</c:v>
                </c:pt>
                <c:pt idx="177">
                  <c:v>0.71798703446949563</c:v>
                </c:pt>
                <c:pt idx="178">
                  <c:v>-0.27756770043500101</c:v>
                </c:pt>
                <c:pt idx="179">
                  <c:v>-0.44006801709280996</c:v>
                </c:pt>
                <c:pt idx="180">
                  <c:v>-0.52307900797824569</c:v>
                </c:pt>
                <c:pt idx="181">
                  <c:v>1.3585567483358059</c:v>
                </c:pt>
                <c:pt idx="182">
                  <c:v>0.61054118667351087</c:v>
                </c:pt>
                <c:pt idx="183">
                  <c:v>-0.53453147015305902</c:v>
                </c:pt>
                <c:pt idx="184">
                  <c:v>0.7294394966443094</c:v>
                </c:pt>
                <c:pt idx="185">
                  <c:v>-0.44205974964495098</c:v>
                </c:pt>
                <c:pt idx="186">
                  <c:v>-0.61555072848635373</c:v>
                </c:pt>
                <c:pt idx="187">
                  <c:v>-0.15490203482002141</c:v>
                </c:pt>
                <c:pt idx="188">
                  <c:v>-0.14394750578324267</c:v>
                </c:pt>
                <c:pt idx="189">
                  <c:v>-0.54648186546590871</c:v>
                </c:pt>
                <c:pt idx="190">
                  <c:v>-0.5420004672235903</c:v>
                </c:pt>
                <c:pt idx="191">
                  <c:v>-0.37701048487560396</c:v>
                </c:pt>
                <c:pt idx="192">
                  <c:v>0.72545603154002647</c:v>
                </c:pt>
                <c:pt idx="193">
                  <c:v>1.3784740738572214</c:v>
                </c:pt>
                <c:pt idx="194">
                  <c:v>-0.37452081918542746</c:v>
                </c:pt>
                <c:pt idx="195">
                  <c:v>-0.39991540922523239</c:v>
                </c:pt>
                <c:pt idx="196">
                  <c:v>0.71499943564128321</c:v>
                </c:pt>
                <c:pt idx="197">
                  <c:v>-0.13847024126485419</c:v>
                </c:pt>
                <c:pt idx="198">
                  <c:v>-0.45002667985351774</c:v>
                </c:pt>
                <c:pt idx="199">
                  <c:v>0.85206902911247351</c:v>
                </c:pt>
                <c:pt idx="200">
                  <c:v>0.74387955764733604</c:v>
                </c:pt>
                <c:pt idx="201">
                  <c:v>-0.532539737600918</c:v>
                </c:pt>
                <c:pt idx="202">
                  <c:v>-0.53552733642912997</c:v>
                </c:pt>
                <c:pt idx="203">
                  <c:v>-0.36506008956275426</c:v>
                </c:pt>
                <c:pt idx="204">
                  <c:v>0.60705565470726341</c:v>
                </c:pt>
                <c:pt idx="205">
                  <c:v>2.2989486149380332</c:v>
                </c:pt>
                <c:pt idx="206">
                  <c:v>-0.53303767073895347</c:v>
                </c:pt>
                <c:pt idx="207">
                  <c:v>-0.36904355466703809</c:v>
                </c:pt>
                <c:pt idx="208">
                  <c:v>0.73342296174859278</c:v>
                </c:pt>
                <c:pt idx="209">
                  <c:v>-0.55245706312233356</c:v>
                </c:pt>
                <c:pt idx="210">
                  <c:v>-0.56241572588304134</c:v>
                </c:pt>
                <c:pt idx="211">
                  <c:v>-0.28155116553928305</c:v>
                </c:pt>
                <c:pt idx="212">
                  <c:v>-0.46496467399457941</c:v>
                </c:pt>
                <c:pt idx="213">
                  <c:v>-0.44554528161119933</c:v>
                </c:pt>
                <c:pt idx="214">
                  <c:v>-0.5420004672235903</c:v>
                </c:pt>
                <c:pt idx="215">
                  <c:v>0.36154434716401873</c:v>
                </c:pt>
                <c:pt idx="216">
                  <c:v>-0.44156181650691551</c:v>
                </c:pt>
                <c:pt idx="217">
                  <c:v>-0.45948740947619005</c:v>
                </c:pt>
                <c:pt idx="218">
                  <c:v>0.62996057905689096</c:v>
                </c:pt>
                <c:pt idx="219">
                  <c:v>-0.54996739743215706</c:v>
                </c:pt>
                <c:pt idx="220">
                  <c:v>0.73043536292038036</c:v>
                </c:pt>
                <c:pt idx="221">
                  <c:v>3.4024871300478043E-2</c:v>
                </c:pt>
                <c:pt idx="222">
                  <c:v>-0.20102984034402471</c:v>
                </c:pt>
                <c:pt idx="223">
                  <c:v>1.371005076786691</c:v>
                </c:pt>
                <c:pt idx="224">
                  <c:v>-0.60857966455385792</c:v>
                </c:pt>
                <c:pt idx="225">
                  <c:v>-0.38398154880809976</c:v>
                </c:pt>
                <c:pt idx="226">
                  <c:v>1.3376435565383193</c:v>
                </c:pt>
                <c:pt idx="227">
                  <c:v>-0.45649981064797807</c:v>
                </c:pt>
                <c:pt idx="228">
                  <c:v>-0.37800635115167491</c:v>
                </c:pt>
                <c:pt idx="229">
                  <c:v>-0.38447948194613524</c:v>
                </c:pt>
                <c:pt idx="230">
                  <c:v>-0.61754246103849475</c:v>
                </c:pt>
                <c:pt idx="231">
                  <c:v>0.59958665763673213</c:v>
                </c:pt>
                <c:pt idx="232">
                  <c:v>-0.56888885667750166</c:v>
                </c:pt>
                <c:pt idx="233">
                  <c:v>1.375984408167044</c:v>
                </c:pt>
                <c:pt idx="234">
                  <c:v>0.87198635463388907</c:v>
                </c:pt>
                <c:pt idx="235">
                  <c:v>0.70553870601861091</c:v>
                </c:pt>
                <c:pt idx="236">
                  <c:v>-0.52457280739235124</c:v>
                </c:pt>
                <c:pt idx="237">
                  <c:v>-0.45201841240565876</c:v>
                </c:pt>
                <c:pt idx="238">
                  <c:v>-0.53204180446288252</c:v>
                </c:pt>
                <c:pt idx="239">
                  <c:v>0.60556185529315698</c:v>
                </c:pt>
                <c:pt idx="240">
                  <c:v>0.72097463329770806</c:v>
                </c:pt>
                <c:pt idx="241">
                  <c:v>1.3854451377897163</c:v>
                </c:pt>
                <c:pt idx="242">
                  <c:v>-0.52208314170217474</c:v>
                </c:pt>
                <c:pt idx="243">
                  <c:v>1.3456104867468852</c:v>
                </c:pt>
                <c:pt idx="244">
                  <c:v>-0.15589790109609236</c:v>
                </c:pt>
                <c:pt idx="245">
                  <c:v>-0.52009140915003371</c:v>
                </c:pt>
                <c:pt idx="246">
                  <c:v>0.72296636584984952</c:v>
                </c:pt>
                <c:pt idx="247">
                  <c:v>-0.53453147015305902</c:v>
                </c:pt>
                <c:pt idx="248">
                  <c:v>-0.38099394997988778</c:v>
                </c:pt>
                <c:pt idx="249">
                  <c:v>0.62448331453850248</c:v>
                </c:pt>
                <c:pt idx="250">
                  <c:v>0.63195231160903287</c:v>
                </c:pt>
                <c:pt idx="251">
                  <c:v>0.37200094306276199</c:v>
                </c:pt>
                <c:pt idx="252">
                  <c:v>-0.54598393232787323</c:v>
                </c:pt>
                <c:pt idx="253">
                  <c:v>-0.38348361567006428</c:v>
                </c:pt>
                <c:pt idx="254">
                  <c:v>-0.37850428428971039</c:v>
                </c:pt>
                <c:pt idx="255">
                  <c:v>0.70155524091432797</c:v>
                </c:pt>
                <c:pt idx="256">
                  <c:v>-0.54847359801805062</c:v>
                </c:pt>
                <c:pt idx="257">
                  <c:v>-0.61853832731456571</c:v>
                </c:pt>
                <c:pt idx="258">
                  <c:v>-0.61057139710599984</c:v>
                </c:pt>
                <c:pt idx="259">
                  <c:v>-0.38348361567006428</c:v>
                </c:pt>
                <c:pt idx="260">
                  <c:v>-0.21148643624276797</c:v>
                </c:pt>
                <c:pt idx="261">
                  <c:v>-0.2035195060342021</c:v>
                </c:pt>
                <c:pt idx="262">
                  <c:v>0.87646775287620837</c:v>
                </c:pt>
                <c:pt idx="263">
                  <c:v>0.73043536292038036</c:v>
                </c:pt>
                <c:pt idx="264">
                  <c:v>0.6334461110231393</c:v>
                </c:pt>
                <c:pt idx="265">
                  <c:v>0.87746361915227933</c:v>
                </c:pt>
                <c:pt idx="266">
                  <c:v>-0.53403353701502354</c:v>
                </c:pt>
                <c:pt idx="267">
                  <c:v>0.84609383145604955</c:v>
                </c:pt>
                <c:pt idx="268">
                  <c:v>2.2929734172816083</c:v>
                </c:pt>
                <c:pt idx="269">
                  <c:v>1.3799678732713279</c:v>
                </c:pt>
                <c:pt idx="270">
                  <c:v>-0.47392747047921624</c:v>
                </c:pt>
                <c:pt idx="271">
                  <c:v>-0.13946610754092514</c:v>
                </c:pt>
                <c:pt idx="272">
                  <c:v>-0.38099394997988778</c:v>
                </c:pt>
                <c:pt idx="273">
                  <c:v>-0.63148458890348635</c:v>
                </c:pt>
                <c:pt idx="274">
                  <c:v>-0.62799905693723801</c:v>
                </c:pt>
                <c:pt idx="275">
                  <c:v>1.3104010771128465</c:v>
                </c:pt>
                <c:pt idx="276">
                  <c:v>0.36801747795847817</c:v>
                </c:pt>
                <c:pt idx="277">
                  <c:v>1.3919182685841776</c:v>
                </c:pt>
                <c:pt idx="278">
                  <c:v>-0.37153322035721548</c:v>
                </c:pt>
                <c:pt idx="279">
                  <c:v>-0.56042399333090032</c:v>
                </c:pt>
                <c:pt idx="280">
                  <c:v>-0.43807628454066805</c:v>
                </c:pt>
                <c:pt idx="281">
                  <c:v>-0.6135589959342127</c:v>
                </c:pt>
                <c:pt idx="282">
                  <c:v>-0.39344227843077206</c:v>
                </c:pt>
                <c:pt idx="283">
                  <c:v>1.375984408167044</c:v>
                </c:pt>
                <c:pt idx="284">
                  <c:v>-0.29499536026623918</c:v>
                </c:pt>
                <c:pt idx="285">
                  <c:v>-0.30346022361284053</c:v>
                </c:pt>
                <c:pt idx="286">
                  <c:v>-0.54946946429412158</c:v>
                </c:pt>
                <c:pt idx="287">
                  <c:v>-0.37701048487560396</c:v>
                </c:pt>
                <c:pt idx="288">
                  <c:v>0.73043536292038036</c:v>
                </c:pt>
                <c:pt idx="289">
                  <c:v>-0.40389887432951532</c:v>
                </c:pt>
                <c:pt idx="290">
                  <c:v>-0.45898947633815457</c:v>
                </c:pt>
                <c:pt idx="291">
                  <c:v>-0.45550394437190711</c:v>
                </c:pt>
                <c:pt idx="292">
                  <c:v>-0.54747773174197967</c:v>
                </c:pt>
                <c:pt idx="293">
                  <c:v>-0.51411621149360798</c:v>
                </c:pt>
                <c:pt idx="294">
                  <c:v>-0.44604321474923481</c:v>
                </c:pt>
                <c:pt idx="295">
                  <c:v>0.623985381400467</c:v>
                </c:pt>
                <c:pt idx="296">
                  <c:v>-0.45550394437190711</c:v>
                </c:pt>
                <c:pt idx="297">
                  <c:v>-0.44405148219709289</c:v>
                </c:pt>
                <c:pt idx="298">
                  <c:v>-0.36854562152900261</c:v>
                </c:pt>
                <c:pt idx="299">
                  <c:v>-0.53453147015305902</c:v>
                </c:pt>
                <c:pt idx="300">
                  <c:v>-0.32835688051461087</c:v>
                </c:pt>
                <c:pt idx="301">
                  <c:v>-0.44106388336888003</c:v>
                </c:pt>
                <c:pt idx="302">
                  <c:v>-0.44156181650691551</c:v>
                </c:pt>
                <c:pt idx="303">
                  <c:v>-0.46347087458047298</c:v>
                </c:pt>
                <c:pt idx="304">
                  <c:v>-0.5180996765978918</c:v>
                </c:pt>
                <c:pt idx="305">
                  <c:v>0.37449060875293849</c:v>
                </c:pt>
                <c:pt idx="306">
                  <c:v>-0.52905420563467054</c:v>
                </c:pt>
                <c:pt idx="307">
                  <c:v>0.72246843271181405</c:v>
                </c:pt>
                <c:pt idx="308">
                  <c:v>-0.37053735408114452</c:v>
                </c:pt>
                <c:pt idx="309">
                  <c:v>0.85655042735479281</c:v>
                </c:pt>
                <c:pt idx="310">
                  <c:v>-0.44654114788727028</c:v>
                </c:pt>
                <c:pt idx="311">
                  <c:v>-0.15141650285377395</c:v>
                </c:pt>
                <c:pt idx="312">
                  <c:v>-0.45600187750994259</c:v>
                </c:pt>
                <c:pt idx="313">
                  <c:v>0.37648234130507952</c:v>
                </c:pt>
                <c:pt idx="314">
                  <c:v>-0.28802429633374427</c:v>
                </c:pt>
                <c:pt idx="315">
                  <c:v>-0.30047262478462855</c:v>
                </c:pt>
                <c:pt idx="316">
                  <c:v>-0.30097055792266403</c:v>
                </c:pt>
                <c:pt idx="317">
                  <c:v>-0.39294434529273659</c:v>
                </c:pt>
                <c:pt idx="318">
                  <c:v>4.2489734647079391E-2</c:v>
                </c:pt>
                <c:pt idx="319">
                  <c:v>-0.5514611968462626</c:v>
                </c:pt>
                <c:pt idx="320">
                  <c:v>-0.44355354905905742</c:v>
                </c:pt>
                <c:pt idx="321">
                  <c:v>-0.53751906898127189</c:v>
                </c:pt>
                <c:pt idx="322">
                  <c:v>-0.36954148780507357</c:v>
                </c:pt>
                <c:pt idx="323">
                  <c:v>0.72645189781609742</c:v>
                </c:pt>
                <c:pt idx="324">
                  <c:v>-0.28702843005767331</c:v>
                </c:pt>
                <c:pt idx="325">
                  <c:v>-0.29499536026623918</c:v>
                </c:pt>
                <c:pt idx="326">
                  <c:v>-0.45450807809583615</c:v>
                </c:pt>
                <c:pt idx="327">
                  <c:v>-0.45550394437190711</c:v>
                </c:pt>
                <c:pt idx="328">
                  <c:v>-0.54946946429412158</c:v>
                </c:pt>
                <c:pt idx="329">
                  <c:v>-0.53801700211930736</c:v>
                </c:pt>
                <c:pt idx="330">
                  <c:v>-0.61106933024403531</c:v>
                </c:pt>
                <c:pt idx="331">
                  <c:v>-0.45401014495780068</c:v>
                </c:pt>
                <c:pt idx="332">
                  <c:v>-0.439072150816739</c:v>
                </c:pt>
                <c:pt idx="333">
                  <c:v>-0.43608455198852702</c:v>
                </c:pt>
                <c:pt idx="334">
                  <c:v>1.3954038005504241</c:v>
                </c:pt>
                <c:pt idx="335">
                  <c:v>-0.39394021156880754</c:v>
                </c:pt>
                <c:pt idx="336">
                  <c:v>0.38743687034185825</c:v>
                </c:pt>
                <c:pt idx="337">
                  <c:v>-0.13797230812681871</c:v>
                </c:pt>
                <c:pt idx="338">
                  <c:v>-0.53751906898127189</c:v>
                </c:pt>
                <c:pt idx="339">
                  <c:v>1.3814616726854343</c:v>
                </c:pt>
                <c:pt idx="340">
                  <c:v>-0.54249840036162578</c:v>
                </c:pt>
                <c:pt idx="341">
                  <c:v>0.723464298987885</c:v>
                </c:pt>
                <c:pt idx="342">
                  <c:v>0.62796884650474905</c:v>
                </c:pt>
                <c:pt idx="343">
                  <c:v>-0.6090775976918934</c:v>
                </c:pt>
                <c:pt idx="344">
                  <c:v>-0.37003942094310904</c:v>
                </c:pt>
                <c:pt idx="345">
                  <c:v>1.3540753500934875</c:v>
                </c:pt>
                <c:pt idx="346">
                  <c:v>0.87945535170442035</c:v>
                </c:pt>
                <c:pt idx="347">
                  <c:v>-0.60957553082992888</c:v>
                </c:pt>
                <c:pt idx="348">
                  <c:v>0.72744776409216794</c:v>
                </c:pt>
                <c:pt idx="349">
                  <c:v>-0.53154387132484704</c:v>
                </c:pt>
                <c:pt idx="350">
                  <c:v>-0.30794162185515983</c:v>
                </c:pt>
                <c:pt idx="351">
                  <c:v>1.7229663658498495</c:v>
                </c:pt>
                <c:pt idx="352">
                  <c:v>1.7130077030891417</c:v>
                </c:pt>
                <c:pt idx="353">
                  <c:v>0.72744776409216794</c:v>
                </c:pt>
                <c:pt idx="354">
                  <c:v>-0.52706247308252863</c:v>
                </c:pt>
                <c:pt idx="355">
                  <c:v>-0.532539737600918</c:v>
                </c:pt>
                <c:pt idx="356">
                  <c:v>1.3650298791302662</c:v>
                </c:pt>
                <c:pt idx="357">
                  <c:v>0.6195039831581477</c:v>
                </c:pt>
                <c:pt idx="358">
                  <c:v>-0.44654114788727028</c:v>
                </c:pt>
                <c:pt idx="359">
                  <c:v>-0.45201841240565876</c:v>
                </c:pt>
                <c:pt idx="360">
                  <c:v>0.73242709547252183</c:v>
                </c:pt>
                <c:pt idx="361">
                  <c:v>-0.45948740947619005</c:v>
                </c:pt>
                <c:pt idx="362">
                  <c:v>-0.38099394997988778</c:v>
                </c:pt>
                <c:pt idx="363">
                  <c:v>-0.43708041826459798</c:v>
                </c:pt>
                <c:pt idx="364">
                  <c:v>-0.63397425459366374</c:v>
                </c:pt>
                <c:pt idx="365">
                  <c:v>-0.44654114788727028</c:v>
                </c:pt>
                <c:pt idx="366">
                  <c:v>0.86501529070139416</c:v>
                </c:pt>
                <c:pt idx="367">
                  <c:v>-0.44355354905905742</c:v>
                </c:pt>
                <c:pt idx="368">
                  <c:v>1.3754864750290086</c:v>
                </c:pt>
                <c:pt idx="369">
                  <c:v>-0.37999808370381682</c:v>
                </c:pt>
                <c:pt idx="370">
                  <c:v>0.86152975873514581</c:v>
                </c:pt>
                <c:pt idx="371">
                  <c:v>0.86949668894371257</c:v>
                </c:pt>
                <c:pt idx="372">
                  <c:v>-0.62003212672867214</c:v>
                </c:pt>
                <c:pt idx="373">
                  <c:v>-0.15490203482002141</c:v>
                </c:pt>
                <c:pt idx="374">
                  <c:v>-0.21098850310473249</c:v>
                </c:pt>
                <c:pt idx="375">
                  <c:v>-4.3508855066568763E-2</c:v>
                </c:pt>
                <c:pt idx="376">
                  <c:v>0.72246843271181405</c:v>
                </c:pt>
                <c:pt idx="377">
                  <c:v>-0.36705182211489618</c:v>
                </c:pt>
                <c:pt idx="378">
                  <c:v>0.71201183681307079</c:v>
                </c:pt>
                <c:pt idx="379">
                  <c:v>0.38444927151364627</c:v>
                </c:pt>
                <c:pt idx="380">
                  <c:v>0.61352878550172374</c:v>
                </c:pt>
                <c:pt idx="381">
                  <c:v>-0.38846294705041817</c:v>
                </c:pt>
                <c:pt idx="382">
                  <c:v>0.72993742978234488</c:v>
                </c:pt>
                <c:pt idx="383">
                  <c:v>-0.43957008395477448</c:v>
                </c:pt>
                <c:pt idx="384">
                  <c:v>0.38444927151364627</c:v>
                </c:pt>
                <c:pt idx="385">
                  <c:v>-4.8986119584957244E-2</c:v>
                </c:pt>
                <c:pt idx="386">
                  <c:v>-0.62351765869492048</c:v>
                </c:pt>
                <c:pt idx="387">
                  <c:v>-0.38198981625595874</c:v>
                </c:pt>
                <c:pt idx="388">
                  <c:v>-0.12900951164218188</c:v>
                </c:pt>
                <c:pt idx="389">
                  <c:v>-0.30346022361284053</c:v>
                </c:pt>
                <c:pt idx="390">
                  <c:v>-0.12651984595200449</c:v>
                </c:pt>
                <c:pt idx="391">
                  <c:v>-0.44156181650691551</c:v>
                </c:pt>
                <c:pt idx="392">
                  <c:v>-0.44803494730137583</c:v>
                </c:pt>
                <c:pt idx="393">
                  <c:v>-0.12452811339986258</c:v>
                </c:pt>
                <c:pt idx="394">
                  <c:v>1.3884327366179292</c:v>
                </c:pt>
                <c:pt idx="395">
                  <c:v>-0.29399949399016823</c:v>
                </c:pt>
                <c:pt idx="396">
                  <c:v>-0.44106388336888003</c:v>
                </c:pt>
                <c:pt idx="397">
                  <c:v>-0.37153322035721548</c:v>
                </c:pt>
                <c:pt idx="398">
                  <c:v>-0.187087712479034</c:v>
                </c:pt>
                <c:pt idx="399">
                  <c:v>-3.6039857996038371E-2</c:v>
                </c:pt>
                <c:pt idx="400">
                  <c:v>0.73143122919645132</c:v>
                </c:pt>
                <c:pt idx="401">
                  <c:v>-0.38099394997988778</c:v>
                </c:pt>
                <c:pt idx="402">
                  <c:v>-0.53353560387698895</c:v>
                </c:pt>
                <c:pt idx="403">
                  <c:v>-0.13149917733235839</c:v>
                </c:pt>
                <c:pt idx="404">
                  <c:v>0.36154434716401873</c:v>
                </c:pt>
                <c:pt idx="405">
                  <c:v>-0.30097055792266403</c:v>
                </c:pt>
                <c:pt idx="406">
                  <c:v>-0.28902016260981434</c:v>
                </c:pt>
                <c:pt idx="407">
                  <c:v>-0.29599122654231014</c:v>
                </c:pt>
                <c:pt idx="408">
                  <c:v>-0.28105323240124847</c:v>
                </c:pt>
                <c:pt idx="409">
                  <c:v>-0.62301972555688501</c:v>
                </c:pt>
                <c:pt idx="410">
                  <c:v>-0.55295499626036904</c:v>
                </c:pt>
                <c:pt idx="411">
                  <c:v>-0.45600187750994259</c:v>
                </c:pt>
                <c:pt idx="412">
                  <c:v>-0.52656453994449315</c:v>
                </c:pt>
                <c:pt idx="413">
                  <c:v>-0.53204180446288252</c:v>
                </c:pt>
                <c:pt idx="414">
                  <c:v>-0.44355354905905742</c:v>
                </c:pt>
                <c:pt idx="415">
                  <c:v>-0.38696914763631174</c:v>
                </c:pt>
                <c:pt idx="416">
                  <c:v>-0.3665538889768607</c:v>
                </c:pt>
                <c:pt idx="417">
                  <c:v>-0.45948740947619005</c:v>
                </c:pt>
                <c:pt idx="418">
                  <c:v>-0.44654114788727028</c:v>
                </c:pt>
                <c:pt idx="419">
                  <c:v>-0.5444901329137668</c:v>
                </c:pt>
                <c:pt idx="420">
                  <c:v>-0.38746708077434722</c:v>
                </c:pt>
                <c:pt idx="421">
                  <c:v>0.86700702325353607</c:v>
                </c:pt>
                <c:pt idx="422">
                  <c:v>-0.53652320270520093</c:v>
                </c:pt>
                <c:pt idx="423">
                  <c:v>-0.38597328136024078</c:v>
                </c:pt>
                <c:pt idx="424">
                  <c:v>-0.44355354905905742</c:v>
                </c:pt>
                <c:pt idx="425">
                  <c:v>0.602574256464945</c:v>
                </c:pt>
                <c:pt idx="426">
                  <c:v>-0.45201841240565876</c:v>
                </c:pt>
                <c:pt idx="427">
                  <c:v>0.86152975873514581</c:v>
                </c:pt>
                <c:pt idx="428">
                  <c:v>0.86800288952960614</c:v>
                </c:pt>
                <c:pt idx="429">
                  <c:v>-0.52357694111628117</c:v>
                </c:pt>
                <c:pt idx="430">
                  <c:v>1.3859430709277518</c:v>
                </c:pt>
                <c:pt idx="431">
                  <c:v>-0.52556867366842219</c:v>
                </c:pt>
                <c:pt idx="432">
                  <c:v>0.63693164298938676</c:v>
                </c:pt>
                <c:pt idx="433">
                  <c:v>-0.4068864731577273</c:v>
                </c:pt>
                <c:pt idx="434">
                  <c:v>-0.40887820570986921</c:v>
                </c:pt>
                <c:pt idx="435">
                  <c:v>-0.54648186546590871</c:v>
                </c:pt>
                <c:pt idx="436">
                  <c:v>-0.52706247308252863</c:v>
                </c:pt>
                <c:pt idx="437">
                  <c:v>-0.53353560387698895</c:v>
                </c:pt>
                <c:pt idx="438">
                  <c:v>-0.43160315374620772</c:v>
                </c:pt>
                <c:pt idx="439">
                  <c:v>-0.53054800504877697</c:v>
                </c:pt>
                <c:pt idx="440">
                  <c:v>-0.64194118480222961</c:v>
                </c:pt>
                <c:pt idx="441">
                  <c:v>-0.13847024126485419</c:v>
                </c:pt>
                <c:pt idx="442">
                  <c:v>-0.29001602888588529</c:v>
                </c:pt>
                <c:pt idx="443">
                  <c:v>-0.44803494730137583</c:v>
                </c:pt>
                <c:pt idx="444">
                  <c:v>1.3874368703418583</c:v>
                </c:pt>
                <c:pt idx="445">
                  <c:v>-0.30943542126926538</c:v>
                </c:pt>
                <c:pt idx="446">
                  <c:v>-0.44753701416334124</c:v>
                </c:pt>
                <c:pt idx="447">
                  <c:v>-0.28005736612517751</c:v>
                </c:pt>
                <c:pt idx="448">
                  <c:v>1.3700092105106201</c:v>
                </c:pt>
                <c:pt idx="449">
                  <c:v>-0.5180996765978918</c:v>
                </c:pt>
                <c:pt idx="450">
                  <c:v>-0.39045467960256008</c:v>
                </c:pt>
                <c:pt idx="451">
                  <c:v>-0.55893019391679388</c:v>
                </c:pt>
                <c:pt idx="452">
                  <c:v>0.72993742978234488</c:v>
                </c:pt>
                <c:pt idx="453">
                  <c:v>-0.36107662445847222</c:v>
                </c:pt>
                <c:pt idx="454">
                  <c:v>-0.45500601123387163</c:v>
                </c:pt>
                <c:pt idx="455">
                  <c:v>-0.12353224712379163</c:v>
                </c:pt>
                <c:pt idx="456">
                  <c:v>-0.38647121449827626</c:v>
                </c:pt>
                <c:pt idx="457">
                  <c:v>-0.45948740947619005</c:v>
                </c:pt>
                <c:pt idx="458">
                  <c:v>0.36204228030205421</c:v>
                </c:pt>
                <c:pt idx="459">
                  <c:v>-0.14743303774949101</c:v>
                </c:pt>
                <c:pt idx="460">
                  <c:v>2.2800271556926877</c:v>
                </c:pt>
                <c:pt idx="461">
                  <c:v>-0.5275604062205641</c:v>
                </c:pt>
                <c:pt idx="462">
                  <c:v>-0.53054800504877697</c:v>
                </c:pt>
                <c:pt idx="463">
                  <c:v>-0.53104593818681245</c:v>
                </c:pt>
                <c:pt idx="464">
                  <c:v>0.70653457229468186</c:v>
                </c:pt>
                <c:pt idx="465">
                  <c:v>-0.53751906898127189</c:v>
                </c:pt>
                <c:pt idx="466">
                  <c:v>-0.54050666780948475</c:v>
                </c:pt>
                <c:pt idx="467">
                  <c:v>-0.39543401098291309</c:v>
                </c:pt>
                <c:pt idx="468">
                  <c:v>-0.5275604062205641</c:v>
                </c:pt>
                <c:pt idx="469">
                  <c:v>0.36652367854437173</c:v>
                </c:pt>
                <c:pt idx="470">
                  <c:v>-0.53453147015305902</c:v>
                </c:pt>
                <c:pt idx="471">
                  <c:v>-0.52855627249663506</c:v>
                </c:pt>
                <c:pt idx="472">
                  <c:v>-0.13697644185074775</c:v>
                </c:pt>
                <c:pt idx="473">
                  <c:v>1.3675195448204427</c:v>
                </c:pt>
                <c:pt idx="474">
                  <c:v>-0.376014618599533</c:v>
                </c:pt>
                <c:pt idx="475">
                  <c:v>-0.52108727542610467</c:v>
                </c:pt>
                <c:pt idx="476">
                  <c:v>0.62298951512439604</c:v>
                </c:pt>
                <c:pt idx="477">
                  <c:v>-0.44604321474923481</c:v>
                </c:pt>
                <c:pt idx="478">
                  <c:v>1.3844492715136463</c:v>
                </c:pt>
                <c:pt idx="479">
                  <c:v>1.2899858184533954</c:v>
                </c:pt>
                <c:pt idx="480">
                  <c:v>-0.28453876436749592</c:v>
                </c:pt>
                <c:pt idx="481">
                  <c:v>-0.45251634554369424</c:v>
                </c:pt>
                <c:pt idx="482">
                  <c:v>1.2924754841435728</c:v>
                </c:pt>
                <c:pt idx="483">
                  <c:v>1.3819596058234698</c:v>
                </c:pt>
                <c:pt idx="484">
                  <c:v>-0.36854562152900261</c:v>
                </c:pt>
                <c:pt idx="485">
                  <c:v>0.63045851219492643</c:v>
                </c:pt>
                <c:pt idx="486">
                  <c:v>0.61004325353547539</c:v>
                </c:pt>
                <c:pt idx="487">
                  <c:v>0.7070325054327169</c:v>
                </c:pt>
                <c:pt idx="488">
                  <c:v>0.60506392215512239</c:v>
                </c:pt>
                <c:pt idx="489">
                  <c:v>-0.29051396202392077</c:v>
                </c:pt>
                <c:pt idx="490">
                  <c:v>-0.52258107484021021</c:v>
                </c:pt>
                <c:pt idx="491">
                  <c:v>0.72396223212592048</c:v>
                </c:pt>
                <c:pt idx="492">
                  <c:v>-0.44255768278298646</c:v>
                </c:pt>
                <c:pt idx="493">
                  <c:v>-0.28404083122946044</c:v>
                </c:pt>
                <c:pt idx="494">
                  <c:v>-0.14145784009306617</c:v>
                </c:pt>
                <c:pt idx="495">
                  <c:v>-0.44803494730137583</c:v>
                </c:pt>
                <c:pt idx="496">
                  <c:v>-0.49135513031045441</c:v>
                </c:pt>
                <c:pt idx="497">
                  <c:v>-0.30346022361284053</c:v>
                </c:pt>
                <c:pt idx="498">
                  <c:v>-0.36954148780507357</c:v>
                </c:pt>
                <c:pt idx="499">
                  <c:v>0.60854945412136896</c:v>
                </c:pt>
              </c:numCache>
            </c:numRef>
          </c:yVal>
          <c:smooth val="0"/>
          <c:extLst>
            <c:ext xmlns:c16="http://schemas.microsoft.com/office/drawing/2014/chart" uri="{C3380CC4-5D6E-409C-BE32-E72D297353CC}">
              <c16:uniqueId val="{00000001-9BEF-4B20-AB32-58271DD77667}"/>
            </c:ext>
          </c:extLst>
        </c:ser>
        <c:dLbls>
          <c:showLegendKey val="0"/>
          <c:showVal val="0"/>
          <c:showCatName val="0"/>
          <c:showSerName val="0"/>
          <c:showPercent val="0"/>
          <c:showBubbleSize val="0"/>
        </c:dLbls>
        <c:axId val="618053376"/>
        <c:axId val="618062976"/>
      </c:scatterChart>
      <c:valAx>
        <c:axId val="618053376"/>
        <c:scaling>
          <c:orientation val="minMax"/>
        </c:scaling>
        <c:delete val="0"/>
        <c:axPos val="b"/>
        <c:title>
          <c:tx>
            <c:rich>
              <a:bodyPr/>
              <a:lstStyle/>
              <a:p>
                <a:pPr>
                  <a:defRPr/>
                </a:pPr>
                <a:r>
                  <a:rPr lang="en-GB"/>
                  <a:t>X9 Amount (£k)</a:t>
                </a:r>
              </a:p>
            </c:rich>
          </c:tx>
          <c:overlay val="0"/>
        </c:title>
        <c:numFmt formatCode="General" sourceLinked="1"/>
        <c:majorTickMark val="out"/>
        <c:minorTickMark val="none"/>
        <c:tickLblPos val="nextTo"/>
        <c:crossAx val="618062976"/>
        <c:crosses val="autoZero"/>
        <c:crossBetween val="midCat"/>
      </c:valAx>
      <c:valAx>
        <c:axId val="618062976"/>
        <c:scaling>
          <c:orientation val="minMax"/>
        </c:scaling>
        <c:delete val="0"/>
        <c:axPos val="l"/>
        <c:title>
          <c:tx>
            <c:rich>
              <a:bodyPr/>
              <a:lstStyle/>
              <a:p>
                <a:pPr>
                  <a:defRPr/>
                </a:pPr>
                <a:r>
                  <a:rPr lang="en-GB"/>
                  <a:t>Residuals</a:t>
                </a:r>
              </a:p>
            </c:rich>
          </c:tx>
          <c:overlay val="0"/>
        </c:title>
        <c:numFmt formatCode="General" sourceLinked="1"/>
        <c:majorTickMark val="out"/>
        <c:minorTickMark val="none"/>
        <c:tickLblPos val="nextTo"/>
        <c:crossAx val="618053376"/>
        <c:crosses val="autoZero"/>
        <c:crossBetween val="midCat"/>
      </c:valAx>
    </c:plotArea>
    <c:plotVisOnly val="1"/>
    <c:dispBlanksAs val="gap"/>
    <c:showDLblsOverMax val="0"/>
    <c:extLst>
      <c:ext xmlns:c16r3="http://schemas.microsoft.com/office/drawing/2017/03/chart" uri="{56B9EC1D-385E-4148-901F-78D8002777C0}">
        <c16r3:dataDisplayOptions16>
          <c16r3:dispNaAsBlank val="1"/>
        </c16r3:dataDisplayOptions16>
      </c:ext>
    </c:extLst>
  </c:chart>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X10 Approval Time (days)  Residual Plot</a:t>
            </a:r>
          </a:p>
        </c:rich>
      </c:tx>
      <c:overlay val="0"/>
    </c:title>
    <c:autoTitleDeleted val="0"/>
    <c:plotArea>
      <c:layout/>
      <c:scatterChart>
        <c:scatterStyle val="lineMarker"/>
        <c:varyColors val="0"/>
        <c:ser>
          <c:idx val="0"/>
          <c:order val="0"/>
          <c:spPr>
            <a:ln w="19050">
              <a:noFill/>
            </a:ln>
          </c:spPr>
          <c:xVal>
            <c:numRef>
              <c:f>Regression!$C$4:$C$503</c:f>
              <c:numCache>
                <c:formatCode>General</c:formatCode>
                <c:ptCount val="500"/>
                <c:pt idx="0">
                  <c:v>2</c:v>
                </c:pt>
                <c:pt idx="1">
                  <c:v>5</c:v>
                </c:pt>
                <c:pt idx="2">
                  <c:v>4</c:v>
                </c:pt>
                <c:pt idx="3">
                  <c:v>3</c:v>
                </c:pt>
                <c:pt idx="4">
                  <c:v>3</c:v>
                </c:pt>
                <c:pt idx="5">
                  <c:v>3</c:v>
                </c:pt>
                <c:pt idx="6">
                  <c:v>2</c:v>
                </c:pt>
                <c:pt idx="7">
                  <c:v>2</c:v>
                </c:pt>
                <c:pt idx="8">
                  <c:v>2</c:v>
                </c:pt>
                <c:pt idx="9">
                  <c:v>2</c:v>
                </c:pt>
                <c:pt idx="10">
                  <c:v>2</c:v>
                </c:pt>
                <c:pt idx="11">
                  <c:v>4</c:v>
                </c:pt>
                <c:pt idx="12">
                  <c:v>3</c:v>
                </c:pt>
                <c:pt idx="13">
                  <c:v>4</c:v>
                </c:pt>
                <c:pt idx="14">
                  <c:v>4</c:v>
                </c:pt>
                <c:pt idx="15">
                  <c:v>4</c:v>
                </c:pt>
                <c:pt idx="16">
                  <c:v>4</c:v>
                </c:pt>
                <c:pt idx="17">
                  <c:v>5</c:v>
                </c:pt>
                <c:pt idx="18">
                  <c:v>5</c:v>
                </c:pt>
                <c:pt idx="19">
                  <c:v>4</c:v>
                </c:pt>
                <c:pt idx="20">
                  <c:v>3</c:v>
                </c:pt>
                <c:pt idx="21">
                  <c:v>3</c:v>
                </c:pt>
                <c:pt idx="22">
                  <c:v>0</c:v>
                </c:pt>
                <c:pt idx="23">
                  <c:v>4</c:v>
                </c:pt>
                <c:pt idx="24">
                  <c:v>4</c:v>
                </c:pt>
                <c:pt idx="25">
                  <c:v>2</c:v>
                </c:pt>
                <c:pt idx="26">
                  <c:v>0</c:v>
                </c:pt>
                <c:pt idx="27">
                  <c:v>5</c:v>
                </c:pt>
                <c:pt idx="28">
                  <c:v>4</c:v>
                </c:pt>
                <c:pt idx="29">
                  <c:v>3</c:v>
                </c:pt>
                <c:pt idx="30">
                  <c:v>5</c:v>
                </c:pt>
                <c:pt idx="31">
                  <c:v>4</c:v>
                </c:pt>
                <c:pt idx="32">
                  <c:v>2</c:v>
                </c:pt>
                <c:pt idx="33">
                  <c:v>2</c:v>
                </c:pt>
                <c:pt idx="34">
                  <c:v>4</c:v>
                </c:pt>
                <c:pt idx="35">
                  <c:v>3</c:v>
                </c:pt>
                <c:pt idx="36">
                  <c:v>4</c:v>
                </c:pt>
                <c:pt idx="37">
                  <c:v>4</c:v>
                </c:pt>
                <c:pt idx="38">
                  <c:v>3</c:v>
                </c:pt>
                <c:pt idx="39">
                  <c:v>0</c:v>
                </c:pt>
                <c:pt idx="40">
                  <c:v>4</c:v>
                </c:pt>
                <c:pt idx="41">
                  <c:v>4</c:v>
                </c:pt>
                <c:pt idx="42">
                  <c:v>4</c:v>
                </c:pt>
                <c:pt idx="43">
                  <c:v>3</c:v>
                </c:pt>
                <c:pt idx="44">
                  <c:v>4</c:v>
                </c:pt>
                <c:pt idx="45">
                  <c:v>4</c:v>
                </c:pt>
                <c:pt idx="46">
                  <c:v>2</c:v>
                </c:pt>
                <c:pt idx="47">
                  <c:v>0</c:v>
                </c:pt>
                <c:pt idx="48">
                  <c:v>2</c:v>
                </c:pt>
                <c:pt idx="49">
                  <c:v>5</c:v>
                </c:pt>
                <c:pt idx="50">
                  <c:v>0</c:v>
                </c:pt>
                <c:pt idx="51">
                  <c:v>3</c:v>
                </c:pt>
                <c:pt idx="52">
                  <c:v>4</c:v>
                </c:pt>
                <c:pt idx="53">
                  <c:v>4</c:v>
                </c:pt>
                <c:pt idx="54">
                  <c:v>4</c:v>
                </c:pt>
                <c:pt idx="55">
                  <c:v>0</c:v>
                </c:pt>
                <c:pt idx="56">
                  <c:v>4</c:v>
                </c:pt>
                <c:pt idx="57">
                  <c:v>4</c:v>
                </c:pt>
                <c:pt idx="58">
                  <c:v>4</c:v>
                </c:pt>
                <c:pt idx="59">
                  <c:v>0</c:v>
                </c:pt>
                <c:pt idx="60">
                  <c:v>4</c:v>
                </c:pt>
                <c:pt idx="61">
                  <c:v>3</c:v>
                </c:pt>
                <c:pt idx="62">
                  <c:v>2</c:v>
                </c:pt>
                <c:pt idx="63">
                  <c:v>4</c:v>
                </c:pt>
                <c:pt idx="64">
                  <c:v>3</c:v>
                </c:pt>
                <c:pt idx="65">
                  <c:v>2</c:v>
                </c:pt>
                <c:pt idx="66">
                  <c:v>4</c:v>
                </c:pt>
                <c:pt idx="67">
                  <c:v>4</c:v>
                </c:pt>
                <c:pt idx="68">
                  <c:v>3</c:v>
                </c:pt>
                <c:pt idx="69">
                  <c:v>3</c:v>
                </c:pt>
                <c:pt idx="70">
                  <c:v>2</c:v>
                </c:pt>
                <c:pt idx="71">
                  <c:v>4</c:v>
                </c:pt>
                <c:pt idx="72">
                  <c:v>3</c:v>
                </c:pt>
                <c:pt idx="73">
                  <c:v>4</c:v>
                </c:pt>
                <c:pt idx="74">
                  <c:v>3</c:v>
                </c:pt>
                <c:pt idx="75">
                  <c:v>3</c:v>
                </c:pt>
                <c:pt idx="76">
                  <c:v>4</c:v>
                </c:pt>
                <c:pt idx="77">
                  <c:v>3</c:v>
                </c:pt>
                <c:pt idx="78">
                  <c:v>4</c:v>
                </c:pt>
                <c:pt idx="79">
                  <c:v>2</c:v>
                </c:pt>
                <c:pt idx="80">
                  <c:v>4</c:v>
                </c:pt>
                <c:pt idx="81">
                  <c:v>0</c:v>
                </c:pt>
                <c:pt idx="82">
                  <c:v>4</c:v>
                </c:pt>
                <c:pt idx="83">
                  <c:v>4</c:v>
                </c:pt>
                <c:pt idx="84">
                  <c:v>2</c:v>
                </c:pt>
                <c:pt idx="85">
                  <c:v>2</c:v>
                </c:pt>
                <c:pt idx="86">
                  <c:v>4</c:v>
                </c:pt>
                <c:pt idx="87">
                  <c:v>3</c:v>
                </c:pt>
                <c:pt idx="88">
                  <c:v>3</c:v>
                </c:pt>
                <c:pt idx="89">
                  <c:v>4</c:v>
                </c:pt>
                <c:pt idx="90">
                  <c:v>4</c:v>
                </c:pt>
                <c:pt idx="91">
                  <c:v>2</c:v>
                </c:pt>
                <c:pt idx="92">
                  <c:v>0</c:v>
                </c:pt>
                <c:pt idx="93">
                  <c:v>2</c:v>
                </c:pt>
                <c:pt idx="94">
                  <c:v>4</c:v>
                </c:pt>
                <c:pt idx="95">
                  <c:v>3</c:v>
                </c:pt>
                <c:pt idx="96">
                  <c:v>4</c:v>
                </c:pt>
                <c:pt idx="97">
                  <c:v>3</c:v>
                </c:pt>
                <c:pt idx="98">
                  <c:v>3</c:v>
                </c:pt>
                <c:pt idx="99">
                  <c:v>4</c:v>
                </c:pt>
                <c:pt idx="100">
                  <c:v>4</c:v>
                </c:pt>
                <c:pt idx="101">
                  <c:v>4</c:v>
                </c:pt>
                <c:pt idx="102">
                  <c:v>4</c:v>
                </c:pt>
                <c:pt idx="103">
                  <c:v>4</c:v>
                </c:pt>
                <c:pt idx="104">
                  <c:v>4</c:v>
                </c:pt>
                <c:pt idx="105">
                  <c:v>4</c:v>
                </c:pt>
                <c:pt idx="106">
                  <c:v>4</c:v>
                </c:pt>
                <c:pt idx="107">
                  <c:v>4</c:v>
                </c:pt>
                <c:pt idx="108">
                  <c:v>4</c:v>
                </c:pt>
                <c:pt idx="109">
                  <c:v>3</c:v>
                </c:pt>
                <c:pt idx="110">
                  <c:v>4</c:v>
                </c:pt>
                <c:pt idx="111">
                  <c:v>3</c:v>
                </c:pt>
                <c:pt idx="112">
                  <c:v>2</c:v>
                </c:pt>
                <c:pt idx="113">
                  <c:v>0</c:v>
                </c:pt>
                <c:pt idx="114">
                  <c:v>2</c:v>
                </c:pt>
                <c:pt idx="115">
                  <c:v>0</c:v>
                </c:pt>
                <c:pt idx="116">
                  <c:v>3</c:v>
                </c:pt>
                <c:pt idx="117">
                  <c:v>2</c:v>
                </c:pt>
                <c:pt idx="118">
                  <c:v>4</c:v>
                </c:pt>
                <c:pt idx="119">
                  <c:v>4</c:v>
                </c:pt>
                <c:pt idx="120">
                  <c:v>4</c:v>
                </c:pt>
                <c:pt idx="121">
                  <c:v>4</c:v>
                </c:pt>
                <c:pt idx="122">
                  <c:v>0</c:v>
                </c:pt>
                <c:pt idx="123">
                  <c:v>5</c:v>
                </c:pt>
                <c:pt idx="124">
                  <c:v>3</c:v>
                </c:pt>
                <c:pt idx="125">
                  <c:v>3</c:v>
                </c:pt>
                <c:pt idx="126">
                  <c:v>2</c:v>
                </c:pt>
                <c:pt idx="127">
                  <c:v>4</c:v>
                </c:pt>
                <c:pt idx="128">
                  <c:v>3</c:v>
                </c:pt>
                <c:pt idx="129">
                  <c:v>0</c:v>
                </c:pt>
                <c:pt idx="130">
                  <c:v>4</c:v>
                </c:pt>
                <c:pt idx="131">
                  <c:v>3</c:v>
                </c:pt>
                <c:pt idx="132">
                  <c:v>4</c:v>
                </c:pt>
                <c:pt idx="133">
                  <c:v>4</c:v>
                </c:pt>
                <c:pt idx="134">
                  <c:v>0</c:v>
                </c:pt>
                <c:pt idx="135">
                  <c:v>0</c:v>
                </c:pt>
                <c:pt idx="136">
                  <c:v>0</c:v>
                </c:pt>
                <c:pt idx="137">
                  <c:v>2</c:v>
                </c:pt>
                <c:pt idx="138">
                  <c:v>2</c:v>
                </c:pt>
                <c:pt idx="139">
                  <c:v>4</c:v>
                </c:pt>
                <c:pt idx="140">
                  <c:v>4</c:v>
                </c:pt>
                <c:pt idx="141">
                  <c:v>4</c:v>
                </c:pt>
                <c:pt idx="142">
                  <c:v>4</c:v>
                </c:pt>
                <c:pt idx="143">
                  <c:v>2</c:v>
                </c:pt>
                <c:pt idx="144">
                  <c:v>0</c:v>
                </c:pt>
                <c:pt idx="145">
                  <c:v>4</c:v>
                </c:pt>
                <c:pt idx="146">
                  <c:v>3</c:v>
                </c:pt>
                <c:pt idx="147">
                  <c:v>0</c:v>
                </c:pt>
                <c:pt idx="148">
                  <c:v>3</c:v>
                </c:pt>
                <c:pt idx="149">
                  <c:v>0</c:v>
                </c:pt>
                <c:pt idx="150">
                  <c:v>2</c:v>
                </c:pt>
                <c:pt idx="151">
                  <c:v>2</c:v>
                </c:pt>
                <c:pt idx="152">
                  <c:v>2</c:v>
                </c:pt>
                <c:pt idx="153">
                  <c:v>4</c:v>
                </c:pt>
                <c:pt idx="154">
                  <c:v>2</c:v>
                </c:pt>
                <c:pt idx="155">
                  <c:v>3</c:v>
                </c:pt>
                <c:pt idx="156">
                  <c:v>4</c:v>
                </c:pt>
                <c:pt idx="157">
                  <c:v>3</c:v>
                </c:pt>
                <c:pt idx="158">
                  <c:v>2</c:v>
                </c:pt>
                <c:pt idx="159">
                  <c:v>2</c:v>
                </c:pt>
                <c:pt idx="160">
                  <c:v>3</c:v>
                </c:pt>
                <c:pt idx="161">
                  <c:v>2</c:v>
                </c:pt>
                <c:pt idx="162">
                  <c:v>3</c:v>
                </c:pt>
                <c:pt idx="163">
                  <c:v>4</c:v>
                </c:pt>
                <c:pt idx="164">
                  <c:v>3</c:v>
                </c:pt>
                <c:pt idx="165">
                  <c:v>4</c:v>
                </c:pt>
                <c:pt idx="166">
                  <c:v>3</c:v>
                </c:pt>
                <c:pt idx="167">
                  <c:v>2</c:v>
                </c:pt>
                <c:pt idx="168">
                  <c:v>2</c:v>
                </c:pt>
                <c:pt idx="169">
                  <c:v>4</c:v>
                </c:pt>
                <c:pt idx="170">
                  <c:v>2</c:v>
                </c:pt>
                <c:pt idx="171">
                  <c:v>4</c:v>
                </c:pt>
                <c:pt idx="172">
                  <c:v>4</c:v>
                </c:pt>
                <c:pt idx="173">
                  <c:v>3</c:v>
                </c:pt>
                <c:pt idx="174">
                  <c:v>3</c:v>
                </c:pt>
                <c:pt idx="175">
                  <c:v>4</c:v>
                </c:pt>
                <c:pt idx="176">
                  <c:v>4</c:v>
                </c:pt>
                <c:pt idx="177">
                  <c:v>0</c:v>
                </c:pt>
                <c:pt idx="178">
                  <c:v>3</c:v>
                </c:pt>
                <c:pt idx="179">
                  <c:v>2</c:v>
                </c:pt>
                <c:pt idx="180">
                  <c:v>3</c:v>
                </c:pt>
                <c:pt idx="181">
                  <c:v>4</c:v>
                </c:pt>
                <c:pt idx="182">
                  <c:v>4</c:v>
                </c:pt>
                <c:pt idx="183">
                  <c:v>3</c:v>
                </c:pt>
                <c:pt idx="184">
                  <c:v>0</c:v>
                </c:pt>
                <c:pt idx="185">
                  <c:v>2</c:v>
                </c:pt>
                <c:pt idx="186">
                  <c:v>4</c:v>
                </c:pt>
                <c:pt idx="187">
                  <c:v>4</c:v>
                </c:pt>
                <c:pt idx="188">
                  <c:v>4</c:v>
                </c:pt>
                <c:pt idx="189">
                  <c:v>3</c:v>
                </c:pt>
                <c:pt idx="190">
                  <c:v>3</c:v>
                </c:pt>
                <c:pt idx="191">
                  <c:v>4</c:v>
                </c:pt>
                <c:pt idx="192">
                  <c:v>0</c:v>
                </c:pt>
                <c:pt idx="193">
                  <c:v>4</c:v>
                </c:pt>
                <c:pt idx="194">
                  <c:v>4</c:v>
                </c:pt>
                <c:pt idx="195">
                  <c:v>4</c:v>
                </c:pt>
                <c:pt idx="196">
                  <c:v>0</c:v>
                </c:pt>
                <c:pt idx="197">
                  <c:v>4</c:v>
                </c:pt>
                <c:pt idx="198">
                  <c:v>2</c:v>
                </c:pt>
                <c:pt idx="199">
                  <c:v>4</c:v>
                </c:pt>
                <c:pt idx="200">
                  <c:v>0</c:v>
                </c:pt>
                <c:pt idx="201">
                  <c:v>3</c:v>
                </c:pt>
                <c:pt idx="202">
                  <c:v>3</c:v>
                </c:pt>
                <c:pt idx="203">
                  <c:v>4</c:v>
                </c:pt>
                <c:pt idx="204">
                  <c:v>4</c:v>
                </c:pt>
                <c:pt idx="205">
                  <c:v>5</c:v>
                </c:pt>
                <c:pt idx="206">
                  <c:v>3</c:v>
                </c:pt>
                <c:pt idx="207">
                  <c:v>4</c:v>
                </c:pt>
                <c:pt idx="208">
                  <c:v>0</c:v>
                </c:pt>
                <c:pt idx="209">
                  <c:v>3</c:v>
                </c:pt>
                <c:pt idx="210">
                  <c:v>3</c:v>
                </c:pt>
                <c:pt idx="211">
                  <c:v>3</c:v>
                </c:pt>
                <c:pt idx="212">
                  <c:v>2</c:v>
                </c:pt>
                <c:pt idx="213">
                  <c:v>2</c:v>
                </c:pt>
                <c:pt idx="214">
                  <c:v>3</c:v>
                </c:pt>
                <c:pt idx="215">
                  <c:v>4</c:v>
                </c:pt>
                <c:pt idx="216">
                  <c:v>2</c:v>
                </c:pt>
                <c:pt idx="217">
                  <c:v>2</c:v>
                </c:pt>
                <c:pt idx="218">
                  <c:v>4</c:v>
                </c:pt>
                <c:pt idx="219">
                  <c:v>3</c:v>
                </c:pt>
                <c:pt idx="220">
                  <c:v>0</c:v>
                </c:pt>
                <c:pt idx="221">
                  <c:v>2</c:v>
                </c:pt>
                <c:pt idx="222">
                  <c:v>2</c:v>
                </c:pt>
                <c:pt idx="223">
                  <c:v>4</c:v>
                </c:pt>
                <c:pt idx="224">
                  <c:v>4</c:v>
                </c:pt>
                <c:pt idx="225">
                  <c:v>4</c:v>
                </c:pt>
                <c:pt idx="226">
                  <c:v>4</c:v>
                </c:pt>
                <c:pt idx="227">
                  <c:v>2</c:v>
                </c:pt>
                <c:pt idx="228">
                  <c:v>4</c:v>
                </c:pt>
                <c:pt idx="229">
                  <c:v>4</c:v>
                </c:pt>
                <c:pt idx="230">
                  <c:v>4</c:v>
                </c:pt>
                <c:pt idx="231">
                  <c:v>4</c:v>
                </c:pt>
                <c:pt idx="232">
                  <c:v>3</c:v>
                </c:pt>
                <c:pt idx="233">
                  <c:v>4</c:v>
                </c:pt>
                <c:pt idx="234">
                  <c:v>4</c:v>
                </c:pt>
                <c:pt idx="235">
                  <c:v>0</c:v>
                </c:pt>
                <c:pt idx="236">
                  <c:v>3</c:v>
                </c:pt>
                <c:pt idx="237">
                  <c:v>2</c:v>
                </c:pt>
                <c:pt idx="238">
                  <c:v>3</c:v>
                </c:pt>
                <c:pt idx="239">
                  <c:v>4</c:v>
                </c:pt>
                <c:pt idx="240">
                  <c:v>0</c:v>
                </c:pt>
                <c:pt idx="241">
                  <c:v>4</c:v>
                </c:pt>
                <c:pt idx="242">
                  <c:v>3</c:v>
                </c:pt>
                <c:pt idx="243">
                  <c:v>4</c:v>
                </c:pt>
                <c:pt idx="244">
                  <c:v>4</c:v>
                </c:pt>
                <c:pt idx="245">
                  <c:v>3</c:v>
                </c:pt>
                <c:pt idx="246">
                  <c:v>0</c:v>
                </c:pt>
                <c:pt idx="247">
                  <c:v>3</c:v>
                </c:pt>
                <c:pt idx="248">
                  <c:v>4</c:v>
                </c:pt>
                <c:pt idx="249">
                  <c:v>4</c:v>
                </c:pt>
                <c:pt idx="250">
                  <c:v>4</c:v>
                </c:pt>
                <c:pt idx="251">
                  <c:v>4</c:v>
                </c:pt>
                <c:pt idx="252">
                  <c:v>3</c:v>
                </c:pt>
                <c:pt idx="253">
                  <c:v>4</c:v>
                </c:pt>
                <c:pt idx="254">
                  <c:v>4</c:v>
                </c:pt>
                <c:pt idx="255">
                  <c:v>0</c:v>
                </c:pt>
                <c:pt idx="256">
                  <c:v>3</c:v>
                </c:pt>
                <c:pt idx="257">
                  <c:v>4</c:v>
                </c:pt>
                <c:pt idx="258">
                  <c:v>4</c:v>
                </c:pt>
                <c:pt idx="259">
                  <c:v>4</c:v>
                </c:pt>
                <c:pt idx="260">
                  <c:v>2</c:v>
                </c:pt>
                <c:pt idx="261">
                  <c:v>2</c:v>
                </c:pt>
                <c:pt idx="262">
                  <c:v>4</c:v>
                </c:pt>
                <c:pt idx="263">
                  <c:v>0</c:v>
                </c:pt>
                <c:pt idx="264">
                  <c:v>4</c:v>
                </c:pt>
                <c:pt idx="265">
                  <c:v>4</c:v>
                </c:pt>
                <c:pt idx="266">
                  <c:v>3</c:v>
                </c:pt>
                <c:pt idx="267">
                  <c:v>4</c:v>
                </c:pt>
                <c:pt idx="268">
                  <c:v>5</c:v>
                </c:pt>
                <c:pt idx="269">
                  <c:v>4</c:v>
                </c:pt>
                <c:pt idx="270">
                  <c:v>2</c:v>
                </c:pt>
                <c:pt idx="271">
                  <c:v>4</c:v>
                </c:pt>
                <c:pt idx="272">
                  <c:v>4</c:v>
                </c:pt>
                <c:pt idx="273">
                  <c:v>4</c:v>
                </c:pt>
                <c:pt idx="274">
                  <c:v>4</c:v>
                </c:pt>
                <c:pt idx="275">
                  <c:v>5</c:v>
                </c:pt>
                <c:pt idx="276">
                  <c:v>4</c:v>
                </c:pt>
                <c:pt idx="277">
                  <c:v>4</c:v>
                </c:pt>
                <c:pt idx="278">
                  <c:v>4</c:v>
                </c:pt>
                <c:pt idx="279">
                  <c:v>3</c:v>
                </c:pt>
                <c:pt idx="280">
                  <c:v>2</c:v>
                </c:pt>
                <c:pt idx="281">
                  <c:v>4</c:v>
                </c:pt>
                <c:pt idx="282">
                  <c:v>4</c:v>
                </c:pt>
                <c:pt idx="283">
                  <c:v>4</c:v>
                </c:pt>
                <c:pt idx="284">
                  <c:v>3</c:v>
                </c:pt>
                <c:pt idx="285">
                  <c:v>3</c:v>
                </c:pt>
                <c:pt idx="286">
                  <c:v>3</c:v>
                </c:pt>
                <c:pt idx="287">
                  <c:v>4</c:v>
                </c:pt>
                <c:pt idx="288">
                  <c:v>0</c:v>
                </c:pt>
                <c:pt idx="289">
                  <c:v>4</c:v>
                </c:pt>
                <c:pt idx="290">
                  <c:v>2</c:v>
                </c:pt>
                <c:pt idx="291">
                  <c:v>2</c:v>
                </c:pt>
                <c:pt idx="292">
                  <c:v>3</c:v>
                </c:pt>
                <c:pt idx="293">
                  <c:v>3</c:v>
                </c:pt>
                <c:pt idx="294">
                  <c:v>2</c:v>
                </c:pt>
                <c:pt idx="295">
                  <c:v>4</c:v>
                </c:pt>
                <c:pt idx="296">
                  <c:v>2</c:v>
                </c:pt>
                <c:pt idx="297">
                  <c:v>2</c:v>
                </c:pt>
                <c:pt idx="298">
                  <c:v>4</c:v>
                </c:pt>
                <c:pt idx="299">
                  <c:v>3</c:v>
                </c:pt>
                <c:pt idx="300">
                  <c:v>3</c:v>
                </c:pt>
                <c:pt idx="301">
                  <c:v>2</c:v>
                </c:pt>
                <c:pt idx="302">
                  <c:v>2</c:v>
                </c:pt>
                <c:pt idx="303">
                  <c:v>2</c:v>
                </c:pt>
                <c:pt idx="304">
                  <c:v>3</c:v>
                </c:pt>
                <c:pt idx="305">
                  <c:v>4</c:v>
                </c:pt>
                <c:pt idx="306">
                  <c:v>3</c:v>
                </c:pt>
                <c:pt idx="307">
                  <c:v>0</c:v>
                </c:pt>
                <c:pt idx="308">
                  <c:v>4</c:v>
                </c:pt>
                <c:pt idx="309">
                  <c:v>4</c:v>
                </c:pt>
                <c:pt idx="310">
                  <c:v>2</c:v>
                </c:pt>
                <c:pt idx="311">
                  <c:v>4</c:v>
                </c:pt>
                <c:pt idx="312">
                  <c:v>2</c:v>
                </c:pt>
                <c:pt idx="313">
                  <c:v>4</c:v>
                </c:pt>
                <c:pt idx="314">
                  <c:v>3</c:v>
                </c:pt>
                <c:pt idx="315">
                  <c:v>3</c:v>
                </c:pt>
                <c:pt idx="316">
                  <c:v>3</c:v>
                </c:pt>
                <c:pt idx="317">
                  <c:v>4</c:v>
                </c:pt>
                <c:pt idx="318">
                  <c:v>2</c:v>
                </c:pt>
                <c:pt idx="319">
                  <c:v>3</c:v>
                </c:pt>
                <c:pt idx="320">
                  <c:v>2</c:v>
                </c:pt>
                <c:pt idx="321">
                  <c:v>3</c:v>
                </c:pt>
                <c:pt idx="322">
                  <c:v>4</c:v>
                </c:pt>
                <c:pt idx="323">
                  <c:v>0</c:v>
                </c:pt>
                <c:pt idx="324">
                  <c:v>3</c:v>
                </c:pt>
                <c:pt idx="325">
                  <c:v>3</c:v>
                </c:pt>
                <c:pt idx="326">
                  <c:v>2</c:v>
                </c:pt>
                <c:pt idx="327">
                  <c:v>2</c:v>
                </c:pt>
                <c:pt idx="328">
                  <c:v>3</c:v>
                </c:pt>
                <c:pt idx="329">
                  <c:v>3</c:v>
                </c:pt>
                <c:pt idx="330">
                  <c:v>4</c:v>
                </c:pt>
                <c:pt idx="331">
                  <c:v>2</c:v>
                </c:pt>
                <c:pt idx="332">
                  <c:v>2</c:v>
                </c:pt>
                <c:pt idx="333">
                  <c:v>2</c:v>
                </c:pt>
                <c:pt idx="334">
                  <c:v>4</c:v>
                </c:pt>
                <c:pt idx="335">
                  <c:v>4</c:v>
                </c:pt>
                <c:pt idx="336">
                  <c:v>4</c:v>
                </c:pt>
                <c:pt idx="337">
                  <c:v>4</c:v>
                </c:pt>
                <c:pt idx="338">
                  <c:v>3</c:v>
                </c:pt>
                <c:pt idx="339">
                  <c:v>4</c:v>
                </c:pt>
                <c:pt idx="340">
                  <c:v>3</c:v>
                </c:pt>
                <c:pt idx="341">
                  <c:v>0</c:v>
                </c:pt>
                <c:pt idx="342">
                  <c:v>4</c:v>
                </c:pt>
                <c:pt idx="343">
                  <c:v>4</c:v>
                </c:pt>
                <c:pt idx="344">
                  <c:v>4</c:v>
                </c:pt>
                <c:pt idx="345">
                  <c:v>4</c:v>
                </c:pt>
                <c:pt idx="346">
                  <c:v>4</c:v>
                </c:pt>
                <c:pt idx="347">
                  <c:v>4</c:v>
                </c:pt>
                <c:pt idx="348">
                  <c:v>0</c:v>
                </c:pt>
                <c:pt idx="349">
                  <c:v>3</c:v>
                </c:pt>
                <c:pt idx="350">
                  <c:v>3</c:v>
                </c:pt>
                <c:pt idx="351">
                  <c:v>0</c:v>
                </c:pt>
                <c:pt idx="352">
                  <c:v>0</c:v>
                </c:pt>
                <c:pt idx="353">
                  <c:v>0</c:v>
                </c:pt>
                <c:pt idx="354">
                  <c:v>3</c:v>
                </c:pt>
                <c:pt idx="355">
                  <c:v>3</c:v>
                </c:pt>
                <c:pt idx="356">
                  <c:v>4</c:v>
                </c:pt>
                <c:pt idx="357">
                  <c:v>4</c:v>
                </c:pt>
                <c:pt idx="358">
                  <c:v>2</c:v>
                </c:pt>
                <c:pt idx="359">
                  <c:v>2</c:v>
                </c:pt>
                <c:pt idx="360">
                  <c:v>0</c:v>
                </c:pt>
                <c:pt idx="361">
                  <c:v>2</c:v>
                </c:pt>
                <c:pt idx="362">
                  <c:v>4</c:v>
                </c:pt>
                <c:pt idx="363">
                  <c:v>2</c:v>
                </c:pt>
                <c:pt idx="364">
                  <c:v>4</c:v>
                </c:pt>
                <c:pt idx="365">
                  <c:v>2</c:v>
                </c:pt>
                <c:pt idx="366">
                  <c:v>4</c:v>
                </c:pt>
                <c:pt idx="367">
                  <c:v>2</c:v>
                </c:pt>
                <c:pt idx="368">
                  <c:v>4</c:v>
                </c:pt>
                <c:pt idx="369">
                  <c:v>4</c:v>
                </c:pt>
                <c:pt idx="370">
                  <c:v>4</c:v>
                </c:pt>
                <c:pt idx="371">
                  <c:v>4</c:v>
                </c:pt>
                <c:pt idx="372">
                  <c:v>4</c:v>
                </c:pt>
                <c:pt idx="373">
                  <c:v>4</c:v>
                </c:pt>
                <c:pt idx="374">
                  <c:v>2</c:v>
                </c:pt>
                <c:pt idx="375">
                  <c:v>3</c:v>
                </c:pt>
                <c:pt idx="376">
                  <c:v>0</c:v>
                </c:pt>
                <c:pt idx="377">
                  <c:v>4</c:v>
                </c:pt>
                <c:pt idx="378">
                  <c:v>0</c:v>
                </c:pt>
                <c:pt idx="379">
                  <c:v>4</c:v>
                </c:pt>
                <c:pt idx="380">
                  <c:v>4</c:v>
                </c:pt>
                <c:pt idx="381">
                  <c:v>4</c:v>
                </c:pt>
                <c:pt idx="382">
                  <c:v>0</c:v>
                </c:pt>
                <c:pt idx="383">
                  <c:v>2</c:v>
                </c:pt>
                <c:pt idx="384">
                  <c:v>4</c:v>
                </c:pt>
                <c:pt idx="385">
                  <c:v>3</c:v>
                </c:pt>
                <c:pt idx="386">
                  <c:v>4</c:v>
                </c:pt>
                <c:pt idx="387">
                  <c:v>4</c:v>
                </c:pt>
                <c:pt idx="388">
                  <c:v>4</c:v>
                </c:pt>
                <c:pt idx="389">
                  <c:v>3</c:v>
                </c:pt>
                <c:pt idx="390">
                  <c:v>4</c:v>
                </c:pt>
                <c:pt idx="391">
                  <c:v>2</c:v>
                </c:pt>
                <c:pt idx="392">
                  <c:v>2</c:v>
                </c:pt>
                <c:pt idx="393">
                  <c:v>4</c:v>
                </c:pt>
                <c:pt idx="394">
                  <c:v>4</c:v>
                </c:pt>
                <c:pt idx="395">
                  <c:v>3</c:v>
                </c:pt>
                <c:pt idx="396">
                  <c:v>2</c:v>
                </c:pt>
                <c:pt idx="397">
                  <c:v>4</c:v>
                </c:pt>
                <c:pt idx="398">
                  <c:v>2</c:v>
                </c:pt>
                <c:pt idx="399">
                  <c:v>3</c:v>
                </c:pt>
                <c:pt idx="400">
                  <c:v>0</c:v>
                </c:pt>
                <c:pt idx="401">
                  <c:v>4</c:v>
                </c:pt>
                <c:pt idx="402">
                  <c:v>3</c:v>
                </c:pt>
                <c:pt idx="403">
                  <c:v>4</c:v>
                </c:pt>
                <c:pt idx="404">
                  <c:v>4</c:v>
                </c:pt>
                <c:pt idx="405">
                  <c:v>3</c:v>
                </c:pt>
                <c:pt idx="406">
                  <c:v>3</c:v>
                </c:pt>
                <c:pt idx="407">
                  <c:v>3</c:v>
                </c:pt>
                <c:pt idx="408">
                  <c:v>3</c:v>
                </c:pt>
                <c:pt idx="409">
                  <c:v>4</c:v>
                </c:pt>
                <c:pt idx="410">
                  <c:v>3</c:v>
                </c:pt>
                <c:pt idx="411">
                  <c:v>2</c:v>
                </c:pt>
                <c:pt idx="412">
                  <c:v>3</c:v>
                </c:pt>
                <c:pt idx="413">
                  <c:v>3</c:v>
                </c:pt>
                <c:pt idx="414">
                  <c:v>2</c:v>
                </c:pt>
                <c:pt idx="415">
                  <c:v>4</c:v>
                </c:pt>
                <c:pt idx="416">
                  <c:v>4</c:v>
                </c:pt>
                <c:pt idx="417">
                  <c:v>2</c:v>
                </c:pt>
                <c:pt idx="418">
                  <c:v>2</c:v>
                </c:pt>
                <c:pt idx="419">
                  <c:v>3</c:v>
                </c:pt>
                <c:pt idx="420">
                  <c:v>4</c:v>
                </c:pt>
                <c:pt idx="421">
                  <c:v>4</c:v>
                </c:pt>
                <c:pt idx="422">
                  <c:v>3</c:v>
                </c:pt>
                <c:pt idx="423">
                  <c:v>4</c:v>
                </c:pt>
                <c:pt idx="424">
                  <c:v>2</c:v>
                </c:pt>
                <c:pt idx="425">
                  <c:v>4</c:v>
                </c:pt>
                <c:pt idx="426">
                  <c:v>2</c:v>
                </c:pt>
                <c:pt idx="427">
                  <c:v>4</c:v>
                </c:pt>
                <c:pt idx="428">
                  <c:v>4</c:v>
                </c:pt>
                <c:pt idx="429">
                  <c:v>3</c:v>
                </c:pt>
                <c:pt idx="430">
                  <c:v>4</c:v>
                </c:pt>
                <c:pt idx="431">
                  <c:v>3</c:v>
                </c:pt>
                <c:pt idx="432">
                  <c:v>4</c:v>
                </c:pt>
                <c:pt idx="433">
                  <c:v>4</c:v>
                </c:pt>
                <c:pt idx="434">
                  <c:v>4</c:v>
                </c:pt>
                <c:pt idx="435">
                  <c:v>3</c:v>
                </c:pt>
                <c:pt idx="436">
                  <c:v>3</c:v>
                </c:pt>
                <c:pt idx="437">
                  <c:v>3</c:v>
                </c:pt>
                <c:pt idx="438">
                  <c:v>2</c:v>
                </c:pt>
                <c:pt idx="439">
                  <c:v>3</c:v>
                </c:pt>
                <c:pt idx="440">
                  <c:v>4</c:v>
                </c:pt>
                <c:pt idx="441">
                  <c:v>4</c:v>
                </c:pt>
                <c:pt idx="442">
                  <c:v>3</c:v>
                </c:pt>
                <c:pt idx="443">
                  <c:v>2</c:v>
                </c:pt>
                <c:pt idx="444">
                  <c:v>4</c:v>
                </c:pt>
                <c:pt idx="445">
                  <c:v>3</c:v>
                </c:pt>
                <c:pt idx="446">
                  <c:v>2</c:v>
                </c:pt>
                <c:pt idx="447">
                  <c:v>3</c:v>
                </c:pt>
                <c:pt idx="448">
                  <c:v>4</c:v>
                </c:pt>
                <c:pt idx="449">
                  <c:v>3</c:v>
                </c:pt>
                <c:pt idx="450">
                  <c:v>4</c:v>
                </c:pt>
                <c:pt idx="451">
                  <c:v>3</c:v>
                </c:pt>
                <c:pt idx="452">
                  <c:v>0</c:v>
                </c:pt>
                <c:pt idx="453">
                  <c:v>4</c:v>
                </c:pt>
                <c:pt idx="454">
                  <c:v>2</c:v>
                </c:pt>
                <c:pt idx="455">
                  <c:v>4</c:v>
                </c:pt>
                <c:pt idx="456">
                  <c:v>4</c:v>
                </c:pt>
                <c:pt idx="457">
                  <c:v>2</c:v>
                </c:pt>
                <c:pt idx="458">
                  <c:v>4</c:v>
                </c:pt>
                <c:pt idx="459">
                  <c:v>4</c:v>
                </c:pt>
                <c:pt idx="460">
                  <c:v>5</c:v>
                </c:pt>
                <c:pt idx="461">
                  <c:v>3</c:v>
                </c:pt>
                <c:pt idx="462">
                  <c:v>3</c:v>
                </c:pt>
                <c:pt idx="463">
                  <c:v>3</c:v>
                </c:pt>
                <c:pt idx="464">
                  <c:v>0</c:v>
                </c:pt>
                <c:pt idx="465">
                  <c:v>3</c:v>
                </c:pt>
                <c:pt idx="466">
                  <c:v>3</c:v>
                </c:pt>
                <c:pt idx="467">
                  <c:v>4</c:v>
                </c:pt>
                <c:pt idx="468">
                  <c:v>3</c:v>
                </c:pt>
                <c:pt idx="469">
                  <c:v>4</c:v>
                </c:pt>
                <c:pt idx="470">
                  <c:v>3</c:v>
                </c:pt>
                <c:pt idx="471">
                  <c:v>3</c:v>
                </c:pt>
                <c:pt idx="472">
                  <c:v>4</c:v>
                </c:pt>
                <c:pt idx="473">
                  <c:v>4</c:v>
                </c:pt>
                <c:pt idx="474">
                  <c:v>4</c:v>
                </c:pt>
                <c:pt idx="475">
                  <c:v>3</c:v>
                </c:pt>
                <c:pt idx="476">
                  <c:v>4</c:v>
                </c:pt>
                <c:pt idx="477">
                  <c:v>2</c:v>
                </c:pt>
                <c:pt idx="478">
                  <c:v>4</c:v>
                </c:pt>
                <c:pt idx="479">
                  <c:v>5</c:v>
                </c:pt>
                <c:pt idx="480">
                  <c:v>3</c:v>
                </c:pt>
                <c:pt idx="481">
                  <c:v>2</c:v>
                </c:pt>
                <c:pt idx="482">
                  <c:v>5</c:v>
                </c:pt>
                <c:pt idx="483">
                  <c:v>4</c:v>
                </c:pt>
                <c:pt idx="484">
                  <c:v>4</c:v>
                </c:pt>
                <c:pt idx="485">
                  <c:v>4</c:v>
                </c:pt>
                <c:pt idx="486">
                  <c:v>4</c:v>
                </c:pt>
                <c:pt idx="487">
                  <c:v>0</c:v>
                </c:pt>
                <c:pt idx="488">
                  <c:v>4</c:v>
                </c:pt>
                <c:pt idx="489">
                  <c:v>3</c:v>
                </c:pt>
                <c:pt idx="490">
                  <c:v>3</c:v>
                </c:pt>
                <c:pt idx="491">
                  <c:v>0</c:v>
                </c:pt>
                <c:pt idx="492">
                  <c:v>2</c:v>
                </c:pt>
                <c:pt idx="493">
                  <c:v>3</c:v>
                </c:pt>
                <c:pt idx="494">
                  <c:v>4</c:v>
                </c:pt>
                <c:pt idx="495">
                  <c:v>2</c:v>
                </c:pt>
                <c:pt idx="496">
                  <c:v>2</c:v>
                </c:pt>
                <c:pt idx="497">
                  <c:v>3</c:v>
                </c:pt>
                <c:pt idx="498">
                  <c:v>4</c:v>
                </c:pt>
                <c:pt idx="499">
                  <c:v>4</c:v>
                </c:pt>
              </c:numCache>
            </c:numRef>
          </c:xVal>
          <c:yVal>
            <c:numRef>
              <c:f>Regression!$H$50:$H$549</c:f>
              <c:numCache>
                <c:formatCode>General</c:formatCode>
                <c:ptCount val="500"/>
                <c:pt idx="0">
                  <c:v>-0.44305561592102194</c:v>
                </c:pt>
                <c:pt idx="1">
                  <c:v>1.2924754841435728</c:v>
                </c:pt>
                <c:pt idx="2">
                  <c:v>-0.36506008956275426</c:v>
                </c:pt>
                <c:pt idx="3">
                  <c:v>-0.29051396202392077</c:v>
                </c:pt>
                <c:pt idx="4">
                  <c:v>-0.29200776143802631</c:v>
                </c:pt>
                <c:pt idx="5">
                  <c:v>-0.52805833935859958</c:v>
                </c:pt>
                <c:pt idx="6">
                  <c:v>-0.46596054027065037</c:v>
                </c:pt>
                <c:pt idx="7">
                  <c:v>-0.44255768278298646</c:v>
                </c:pt>
                <c:pt idx="8">
                  <c:v>-0.45002667985351774</c:v>
                </c:pt>
                <c:pt idx="9">
                  <c:v>-0.45052461299155233</c:v>
                </c:pt>
                <c:pt idx="10">
                  <c:v>-0.43608455198852702</c:v>
                </c:pt>
                <c:pt idx="11">
                  <c:v>1.3864410040657873</c:v>
                </c:pt>
                <c:pt idx="12">
                  <c:v>-0.52407487425431576</c:v>
                </c:pt>
                <c:pt idx="13">
                  <c:v>0.87596981973817289</c:v>
                </c:pt>
                <c:pt idx="14">
                  <c:v>0.62498124767653795</c:v>
                </c:pt>
                <c:pt idx="15">
                  <c:v>-0.37900221742774587</c:v>
                </c:pt>
                <c:pt idx="16">
                  <c:v>-0.62750112379920253</c:v>
                </c:pt>
                <c:pt idx="17">
                  <c:v>2.2884920190392899</c:v>
                </c:pt>
                <c:pt idx="18">
                  <c:v>1.2914796178675019</c:v>
                </c:pt>
                <c:pt idx="19">
                  <c:v>-0.38099394997988778</c:v>
                </c:pt>
                <c:pt idx="20">
                  <c:v>-0.54548599918983776</c:v>
                </c:pt>
                <c:pt idx="21">
                  <c:v>-0.52656453994449315</c:v>
                </c:pt>
                <c:pt idx="22">
                  <c:v>0.7199787670216371</c:v>
                </c:pt>
                <c:pt idx="23">
                  <c:v>1.3814616726854343</c:v>
                </c:pt>
                <c:pt idx="24">
                  <c:v>-0.36555802270078974</c:v>
                </c:pt>
                <c:pt idx="25">
                  <c:v>-0.44205974964495098</c:v>
                </c:pt>
                <c:pt idx="26">
                  <c:v>1.7154973687793187</c:v>
                </c:pt>
                <c:pt idx="27">
                  <c:v>2.2964589492478567</c:v>
                </c:pt>
                <c:pt idx="28">
                  <c:v>1.3919182685841776</c:v>
                </c:pt>
                <c:pt idx="29">
                  <c:v>-0.53801700211930736</c:v>
                </c:pt>
                <c:pt idx="30">
                  <c:v>1.3054217457324935</c:v>
                </c:pt>
                <c:pt idx="31">
                  <c:v>-0.64194118480222961</c:v>
                </c:pt>
                <c:pt idx="32">
                  <c:v>-0.44355354905905742</c:v>
                </c:pt>
                <c:pt idx="33">
                  <c:v>-0.43309695316031416</c:v>
                </c:pt>
                <c:pt idx="34">
                  <c:v>0.38843273661792921</c:v>
                </c:pt>
                <c:pt idx="35">
                  <c:v>-0.29101189516195625</c:v>
                </c:pt>
                <c:pt idx="36">
                  <c:v>-0.42431413298896636</c:v>
                </c:pt>
                <c:pt idx="37">
                  <c:v>0.38096373954739882</c:v>
                </c:pt>
                <c:pt idx="38">
                  <c:v>-5.1475785275134633E-2</c:v>
                </c:pt>
                <c:pt idx="39">
                  <c:v>0.72047670015967258</c:v>
                </c:pt>
                <c:pt idx="40">
                  <c:v>0.85555456107872185</c:v>
                </c:pt>
                <c:pt idx="41">
                  <c:v>0.62896471278082</c:v>
                </c:pt>
                <c:pt idx="42">
                  <c:v>-0.36705182211489618</c:v>
                </c:pt>
                <c:pt idx="43">
                  <c:v>-0.2755759678828591</c:v>
                </c:pt>
                <c:pt idx="44">
                  <c:v>1.3934120679982831</c:v>
                </c:pt>
                <c:pt idx="45">
                  <c:v>-0.38796501391238269</c:v>
                </c:pt>
                <c:pt idx="46">
                  <c:v>-0.439072150816739</c:v>
                </c:pt>
                <c:pt idx="47">
                  <c:v>0.70055937463825702</c:v>
                </c:pt>
                <c:pt idx="48">
                  <c:v>-0.43807628454066805</c:v>
                </c:pt>
                <c:pt idx="49">
                  <c:v>1.2949651498337502</c:v>
                </c:pt>
                <c:pt idx="50">
                  <c:v>0.71201183681307079</c:v>
                </c:pt>
                <c:pt idx="51">
                  <c:v>-5.1475785275134633E-2</c:v>
                </c:pt>
                <c:pt idx="52">
                  <c:v>-0.3829856825320288</c:v>
                </c:pt>
                <c:pt idx="53">
                  <c:v>-0.36506008956275426</c:v>
                </c:pt>
                <c:pt idx="54">
                  <c:v>1.3904244691700711</c:v>
                </c:pt>
                <c:pt idx="55">
                  <c:v>0.72744776409216794</c:v>
                </c:pt>
                <c:pt idx="56">
                  <c:v>-0.38447948194613524</c:v>
                </c:pt>
                <c:pt idx="57">
                  <c:v>0.86700702325353607</c:v>
                </c:pt>
                <c:pt idx="58">
                  <c:v>0.623985381400467</c:v>
                </c:pt>
                <c:pt idx="59">
                  <c:v>0.73890022626698215</c:v>
                </c:pt>
                <c:pt idx="60">
                  <c:v>-0.37153322035721548</c:v>
                </c:pt>
                <c:pt idx="61">
                  <c:v>-0.51909554287396276</c:v>
                </c:pt>
                <c:pt idx="62">
                  <c:v>-0.47641713616939363</c:v>
                </c:pt>
                <c:pt idx="63">
                  <c:v>-0.37900221742774587</c:v>
                </c:pt>
                <c:pt idx="64">
                  <c:v>-0.54100460094752023</c:v>
                </c:pt>
                <c:pt idx="65">
                  <c:v>-0.45600187750994259</c:v>
                </c:pt>
                <c:pt idx="66">
                  <c:v>-0.376014618599533</c:v>
                </c:pt>
                <c:pt idx="67">
                  <c:v>0.37449060875293849</c:v>
                </c:pt>
                <c:pt idx="68">
                  <c:v>-0.51909554287396276</c:v>
                </c:pt>
                <c:pt idx="69">
                  <c:v>-0.53552733642912997</c:v>
                </c:pt>
                <c:pt idx="70">
                  <c:v>-0.21347816879490988</c:v>
                </c:pt>
                <c:pt idx="71">
                  <c:v>0.38146167268543429</c:v>
                </c:pt>
                <c:pt idx="72">
                  <c:v>-0.5275604062205641</c:v>
                </c:pt>
                <c:pt idx="73">
                  <c:v>0.38793480347989373</c:v>
                </c:pt>
                <c:pt idx="74">
                  <c:v>-0.52855627249663506</c:v>
                </c:pt>
                <c:pt idx="75">
                  <c:v>-0.28852222947177975</c:v>
                </c:pt>
                <c:pt idx="76">
                  <c:v>-0.3804960168418523</c:v>
                </c:pt>
                <c:pt idx="77">
                  <c:v>-0.30246435733676957</c:v>
                </c:pt>
                <c:pt idx="78">
                  <c:v>0.37000921051062008</c:v>
                </c:pt>
                <c:pt idx="79">
                  <c:v>-0.44504734847316385</c:v>
                </c:pt>
                <c:pt idx="80">
                  <c:v>0.36254021344008969</c:v>
                </c:pt>
                <c:pt idx="81">
                  <c:v>1.7204767001596726</c:v>
                </c:pt>
                <c:pt idx="82">
                  <c:v>-0.37252908663328554</c:v>
                </c:pt>
                <c:pt idx="83">
                  <c:v>-0.37203115349525095</c:v>
                </c:pt>
                <c:pt idx="84">
                  <c:v>-0.20401743917223758</c:v>
                </c:pt>
                <c:pt idx="85">
                  <c:v>-0.21646576762312186</c:v>
                </c:pt>
                <c:pt idx="86">
                  <c:v>-0.37302701977132102</c:v>
                </c:pt>
                <c:pt idx="87">
                  <c:v>-0.27607390102089457</c:v>
                </c:pt>
                <c:pt idx="88">
                  <c:v>-0.53602526956716545</c:v>
                </c:pt>
                <c:pt idx="89">
                  <c:v>-0.38497741508416983</c:v>
                </c:pt>
                <c:pt idx="90">
                  <c:v>-0.3829856825320288</c:v>
                </c:pt>
                <c:pt idx="91">
                  <c:v>-0.45201841240565876</c:v>
                </c:pt>
                <c:pt idx="92">
                  <c:v>0.73242709547252183</c:v>
                </c:pt>
                <c:pt idx="93">
                  <c:v>-0.4629729414424375</c:v>
                </c:pt>
                <c:pt idx="94">
                  <c:v>-0.36705182211489618</c:v>
                </c:pt>
                <c:pt idx="95">
                  <c:v>-0.30346022361284053</c:v>
                </c:pt>
                <c:pt idx="96">
                  <c:v>1.3690133442345491</c:v>
                </c:pt>
                <c:pt idx="97">
                  <c:v>-0.53353560387698895</c:v>
                </c:pt>
                <c:pt idx="98">
                  <c:v>-0.54598393232787323</c:v>
                </c:pt>
                <c:pt idx="99">
                  <c:v>-0.62351765869492048</c:v>
                </c:pt>
                <c:pt idx="100">
                  <c:v>-0.63297838831759279</c:v>
                </c:pt>
                <c:pt idx="101">
                  <c:v>-0.63945151911205222</c:v>
                </c:pt>
                <c:pt idx="102">
                  <c:v>-0.60360033317350492</c:v>
                </c:pt>
                <c:pt idx="103">
                  <c:v>-0.62600732438509699</c:v>
                </c:pt>
                <c:pt idx="104">
                  <c:v>0.38345340523757532</c:v>
                </c:pt>
                <c:pt idx="105">
                  <c:v>0.3864410040657873</c:v>
                </c:pt>
                <c:pt idx="106">
                  <c:v>0.39191826858417755</c:v>
                </c:pt>
                <c:pt idx="107">
                  <c:v>0.37996787327132786</c:v>
                </c:pt>
                <c:pt idx="108">
                  <c:v>0.36751954482044269</c:v>
                </c:pt>
                <c:pt idx="109">
                  <c:v>-0.27607390102089457</c:v>
                </c:pt>
                <c:pt idx="110">
                  <c:v>-0.62600732438509699</c:v>
                </c:pt>
                <c:pt idx="111">
                  <c:v>-0.29150982829999084</c:v>
                </c:pt>
                <c:pt idx="112">
                  <c:v>-0.45152047926762329</c:v>
                </c:pt>
                <c:pt idx="113">
                  <c:v>0.71250976995110626</c:v>
                </c:pt>
                <c:pt idx="114">
                  <c:v>-0.20102984034402471</c:v>
                </c:pt>
                <c:pt idx="115">
                  <c:v>0.72744776409216794</c:v>
                </c:pt>
                <c:pt idx="116">
                  <c:v>-0.53652320270520093</c:v>
                </c:pt>
                <c:pt idx="117">
                  <c:v>-0.45450807809583615</c:v>
                </c:pt>
                <c:pt idx="118">
                  <c:v>0.61900605002011222</c:v>
                </c:pt>
                <c:pt idx="119">
                  <c:v>-0.39543401098291309</c:v>
                </c:pt>
                <c:pt idx="120">
                  <c:v>-0.3735249529093565</c:v>
                </c:pt>
                <c:pt idx="121">
                  <c:v>0.86501529070139416</c:v>
                </c:pt>
                <c:pt idx="122">
                  <c:v>0.72645189781609742</c:v>
                </c:pt>
                <c:pt idx="123">
                  <c:v>1.2944672166957147</c:v>
                </c:pt>
                <c:pt idx="124">
                  <c:v>-0.53552733642912997</c:v>
                </c:pt>
                <c:pt idx="125">
                  <c:v>-0.53702113584323641</c:v>
                </c:pt>
                <c:pt idx="126">
                  <c:v>-0.44654114788727028</c:v>
                </c:pt>
                <c:pt idx="127">
                  <c:v>0.39142033544614208</c:v>
                </c:pt>
                <c:pt idx="128">
                  <c:v>-0.53602526956716545</c:v>
                </c:pt>
                <c:pt idx="129">
                  <c:v>0.73441882802466329</c:v>
                </c:pt>
                <c:pt idx="130">
                  <c:v>0.62896471278082</c:v>
                </c:pt>
                <c:pt idx="131">
                  <c:v>-0.28603256378160236</c:v>
                </c:pt>
                <c:pt idx="132">
                  <c:v>-0.36904355466703809</c:v>
                </c:pt>
                <c:pt idx="133">
                  <c:v>-0.60459619944957588</c:v>
                </c:pt>
                <c:pt idx="134">
                  <c:v>1.7174891013314602</c:v>
                </c:pt>
                <c:pt idx="135">
                  <c:v>0.72595396467806195</c:v>
                </c:pt>
                <c:pt idx="136">
                  <c:v>0.72545603154002647</c:v>
                </c:pt>
                <c:pt idx="137">
                  <c:v>-0.43757835140263346</c:v>
                </c:pt>
                <c:pt idx="138">
                  <c:v>-0.44753701416334124</c:v>
                </c:pt>
                <c:pt idx="139">
                  <c:v>-0.37003942094310904</c:v>
                </c:pt>
                <c:pt idx="140">
                  <c:v>-0.38597328136024078</c:v>
                </c:pt>
                <c:pt idx="141">
                  <c:v>0.61203498608761731</c:v>
                </c:pt>
                <c:pt idx="142">
                  <c:v>-0.60459619944957588</c:v>
                </c:pt>
                <c:pt idx="143">
                  <c:v>-0.45201841240565876</c:v>
                </c:pt>
                <c:pt idx="144">
                  <c:v>0.70055937463825702</c:v>
                </c:pt>
                <c:pt idx="145">
                  <c:v>0.62049984943421865</c:v>
                </c:pt>
                <c:pt idx="146">
                  <c:v>-0.28902016260981434</c:v>
                </c:pt>
                <c:pt idx="147">
                  <c:v>0.72545603154002647</c:v>
                </c:pt>
                <c:pt idx="148">
                  <c:v>-0.5514611968462626</c:v>
                </c:pt>
                <c:pt idx="149">
                  <c:v>0.70802837170878785</c:v>
                </c:pt>
                <c:pt idx="150">
                  <c:v>-0.439072150816739</c:v>
                </c:pt>
                <c:pt idx="151">
                  <c:v>-0.45898947633815457</c:v>
                </c:pt>
                <c:pt idx="152">
                  <c:v>-0.44903081357744679</c:v>
                </c:pt>
                <c:pt idx="153">
                  <c:v>-0.14892683716359745</c:v>
                </c:pt>
                <c:pt idx="154">
                  <c:v>-0.46147914202833107</c:v>
                </c:pt>
                <c:pt idx="155">
                  <c:v>-0.52158520856413926</c:v>
                </c:pt>
                <c:pt idx="156">
                  <c:v>-0.15042063657770299</c:v>
                </c:pt>
                <c:pt idx="157">
                  <c:v>-0.53851493525734284</c:v>
                </c:pt>
                <c:pt idx="158">
                  <c:v>-0.43459075257442059</c:v>
                </c:pt>
                <c:pt idx="159">
                  <c:v>-0.45898947633815457</c:v>
                </c:pt>
                <c:pt idx="160">
                  <c:v>-0.54548599918983776</c:v>
                </c:pt>
                <c:pt idx="161">
                  <c:v>-0.44056595023084455</c:v>
                </c:pt>
                <c:pt idx="162">
                  <c:v>-0.52208314170217474</c:v>
                </c:pt>
                <c:pt idx="163">
                  <c:v>1.3814616726854343</c:v>
                </c:pt>
                <c:pt idx="164">
                  <c:v>-0.54946946429412158</c:v>
                </c:pt>
                <c:pt idx="165">
                  <c:v>-0.13000537791825195</c:v>
                </c:pt>
                <c:pt idx="166">
                  <c:v>-0.53751906898127189</c:v>
                </c:pt>
                <c:pt idx="167">
                  <c:v>-0.45948740947619005</c:v>
                </c:pt>
                <c:pt idx="168">
                  <c:v>-0.43757835140263346</c:v>
                </c:pt>
                <c:pt idx="169">
                  <c:v>-0.14095990695503069</c:v>
                </c:pt>
                <c:pt idx="170">
                  <c:v>-0.45401014495780068</c:v>
                </c:pt>
                <c:pt idx="171">
                  <c:v>0.37946994013329238</c:v>
                </c:pt>
                <c:pt idx="172">
                  <c:v>-0.13000537791825195</c:v>
                </c:pt>
                <c:pt idx="173">
                  <c:v>-0.28005736612517751</c:v>
                </c:pt>
                <c:pt idx="174">
                  <c:v>-0.28702843005767331</c:v>
                </c:pt>
                <c:pt idx="175">
                  <c:v>-0.13647850871271228</c:v>
                </c:pt>
                <c:pt idx="176">
                  <c:v>0.38195960582346977</c:v>
                </c:pt>
                <c:pt idx="177">
                  <c:v>0.71798703446949563</c:v>
                </c:pt>
                <c:pt idx="178">
                  <c:v>-0.27756770043500101</c:v>
                </c:pt>
                <c:pt idx="179">
                  <c:v>-0.44006801709280996</c:v>
                </c:pt>
                <c:pt idx="180">
                  <c:v>-0.52307900797824569</c:v>
                </c:pt>
                <c:pt idx="181">
                  <c:v>1.3585567483358059</c:v>
                </c:pt>
                <c:pt idx="182">
                  <c:v>0.61054118667351087</c:v>
                </c:pt>
                <c:pt idx="183">
                  <c:v>-0.53453147015305902</c:v>
                </c:pt>
                <c:pt idx="184">
                  <c:v>0.7294394966443094</c:v>
                </c:pt>
                <c:pt idx="185">
                  <c:v>-0.44205974964495098</c:v>
                </c:pt>
                <c:pt idx="186">
                  <c:v>-0.61555072848635373</c:v>
                </c:pt>
                <c:pt idx="187">
                  <c:v>-0.15490203482002141</c:v>
                </c:pt>
                <c:pt idx="188">
                  <c:v>-0.14394750578324267</c:v>
                </c:pt>
                <c:pt idx="189">
                  <c:v>-0.54648186546590871</c:v>
                </c:pt>
                <c:pt idx="190">
                  <c:v>-0.5420004672235903</c:v>
                </c:pt>
                <c:pt idx="191">
                  <c:v>-0.37701048487560396</c:v>
                </c:pt>
                <c:pt idx="192">
                  <c:v>0.72545603154002647</c:v>
                </c:pt>
                <c:pt idx="193">
                  <c:v>1.3784740738572214</c:v>
                </c:pt>
                <c:pt idx="194">
                  <c:v>-0.37452081918542746</c:v>
                </c:pt>
                <c:pt idx="195">
                  <c:v>-0.39991540922523239</c:v>
                </c:pt>
                <c:pt idx="196">
                  <c:v>0.71499943564128321</c:v>
                </c:pt>
                <c:pt idx="197">
                  <c:v>-0.13847024126485419</c:v>
                </c:pt>
                <c:pt idx="198">
                  <c:v>-0.45002667985351774</c:v>
                </c:pt>
                <c:pt idx="199">
                  <c:v>0.85206902911247351</c:v>
                </c:pt>
                <c:pt idx="200">
                  <c:v>0.74387955764733604</c:v>
                </c:pt>
                <c:pt idx="201">
                  <c:v>-0.532539737600918</c:v>
                </c:pt>
                <c:pt idx="202">
                  <c:v>-0.53552733642912997</c:v>
                </c:pt>
                <c:pt idx="203">
                  <c:v>-0.36506008956275426</c:v>
                </c:pt>
                <c:pt idx="204">
                  <c:v>0.60705565470726341</c:v>
                </c:pt>
                <c:pt idx="205">
                  <c:v>2.2989486149380332</c:v>
                </c:pt>
                <c:pt idx="206">
                  <c:v>-0.53303767073895347</c:v>
                </c:pt>
                <c:pt idx="207">
                  <c:v>-0.36904355466703809</c:v>
                </c:pt>
                <c:pt idx="208">
                  <c:v>0.73342296174859278</c:v>
                </c:pt>
                <c:pt idx="209">
                  <c:v>-0.55245706312233356</c:v>
                </c:pt>
                <c:pt idx="210">
                  <c:v>-0.56241572588304134</c:v>
                </c:pt>
                <c:pt idx="211">
                  <c:v>-0.28155116553928305</c:v>
                </c:pt>
                <c:pt idx="212">
                  <c:v>-0.46496467399457941</c:v>
                </c:pt>
                <c:pt idx="213">
                  <c:v>-0.44554528161119933</c:v>
                </c:pt>
                <c:pt idx="214">
                  <c:v>-0.5420004672235903</c:v>
                </c:pt>
                <c:pt idx="215">
                  <c:v>0.36154434716401873</c:v>
                </c:pt>
                <c:pt idx="216">
                  <c:v>-0.44156181650691551</c:v>
                </c:pt>
                <c:pt idx="217">
                  <c:v>-0.45948740947619005</c:v>
                </c:pt>
                <c:pt idx="218">
                  <c:v>0.62996057905689096</c:v>
                </c:pt>
                <c:pt idx="219">
                  <c:v>-0.54996739743215706</c:v>
                </c:pt>
                <c:pt idx="220">
                  <c:v>0.73043536292038036</c:v>
                </c:pt>
                <c:pt idx="221">
                  <c:v>3.4024871300478043E-2</c:v>
                </c:pt>
                <c:pt idx="222">
                  <c:v>-0.20102984034402471</c:v>
                </c:pt>
                <c:pt idx="223">
                  <c:v>1.371005076786691</c:v>
                </c:pt>
                <c:pt idx="224">
                  <c:v>-0.60857966455385792</c:v>
                </c:pt>
                <c:pt idx="225">
                  <c:v>-0.38398154880809976</c:v>
                </c:pt>
                <c:pt idx="226">
                  <c:v>1.3376435565383193</c:v>
                </c:pt>
                <c:pt idx="227">
                  <c:v>-0.45649981064797807</c:v>
                </c:pt>
                <c:pt idx="228">
                  <c:v>-0.37800635115167491</c:v>
                </c:pt>
                <c:pt idx="229">
                  <c:v>-0.38447948194613524</c:v>
                </c:pt>
                <c:pt idx="230">
                  <c:v>-0.61754246103849475</c:v>
                </c:pt>
                <c:pt idx="231">
                  <c:v>0.59958665763673213</c:v>
                </c:pt>
                <c:pt idx="232">
                  <c:v>-0.56888885667750166</c:v>
                </c:pt>
                <c:pt idx="233">
                  <c:v>1.375984408167044</c:v>
                </c:pt>
                <c:pt idx="234">
                  <c:v>0.87198635463388907</c:v>
                </c:pt>
                <c:pt idx="235">
                  <c:v>0.70553870601861091</c:v>
                </c:pt>
                <c:pt idx="236">
                  <c:v>-0.52457280739235124</c:v>
                </c:pt>
                <c:pt idx="237">
                  <c:v>-0.45201841240565876</c:v>
                </c:pt>
                <c:pt idx="238">
                  <c:v>-0.53204180446288252</c:v>
                </c:pt>
                <c:pt idx="239">
                  <c:v>0.60556185529315698</c:v>
                </c:pt>
                <c:pt idx="240">
                  <c:v>0.72097463329770806</c:v>
                </c:pt>
                <c:pt idx="241">
                  <c:v>1.3854451377897163</c:v>
                </c:pt>
                <c:pt idx="242">
                  <c:v>-0.52208314170217474</c:v>
                </c:pt>
                <c:pt idx="243">
                  <c:v>1.3456104867468852</c:v>
                </c:pt>
                <c:pt idx="244">
                  <c:v>-0.15589790109609236</c:v>
                </c:pt>
                <c:pt idx="245">
                  <c:v>-0.52009140915003371</c:v>
                </c:pt>
                <c:pt idx="246">
                  <c:v>0.72296636584984952</c:v>
                </c:pt>
                <c:pt idx="247">
                  <c:v>-0.53453147015305902</c:v>
                </c:pt>
                <c:pt idx="248">
                  <c:v>-0.38099394997988778</c:v>
                </c:pt>
                <c:pt idx="249">
                  <c:v>0.62448331453850248</c:v>
                </c:pt>
                <c:pt idx="250">
                  <c:v>0.63195231160903287</c:v>
                </c:pt>
                <c:pt idx="251">
                  <c:v>0.37200094306276199</c:v>
                </c:pt>
                <c:pt idx="252">
                  <c:v>-0.54598393232787323</c:v>
                </c:pt>
                <c:pt idx="253">
                  <c:v>-0.38348361567006428</c:v>
                </c:pt>
                <c:pt idx="254">
                  <c:v>-0.37850428428971039</c:v>
                </c:pt>
                <c:pt idx="255">
                  <c:v>0.70155524091432797</c:v>
                </c:pt>
                <c:pt idx="256">
                  <c:v>-0.54847359801805062</c:v>
                </c:pt>
                <c:pt idx="257">
                  <c:v>-0.61853832731456571</c:v>
                </c:pt>
                <c:pt idx="258">
                  <c:v>-0.61057139710599984</c:v>
                </c:pt>
                <c:pt idx="259">
                  <c:v>-0.38348361567006428</c:v>
                </c:pt>
                <c:pt idx="260">
                  <c:v>-0.21148643624276797</c:v>
                </c:pt>
                <c:pt idx="261">
                  <c:v>-0.2035195060342021</c:v>
                </c:pt>
                <c:pt idx="262">
                  <c:v>0.87646775287620837</c:v>
                </c:pt>
                <c:pt idx="263">
                  <c:v>0.73043536292038036</c:v>
                </c:pt>
                <c:pt idx="264">
                  <c:v>0.6334461110231393</c:v>
                </c:pt>
                <c:pt idx="265">
                  <c:v>0.87746361915227933</c:v>
                </c:pt>
                <c:pt idx="266">
                  <c:v>-0.53403353701502354</c:v>
                </c:pt>
                <c:pt idx="267">
                  <c:v>0.84609383145604955</c:v>
                </c:pt>
                <c:pt idx="268">
                  <c:v>2.2929734172816083</c:v>
                </c:pt>
                <c:pt idx="269">
                  <c:v>1.3799678732713279</c:v>
                </c:pt>
                <c:pt idx="270">
                  <c:v>-0.47392747047921624</c:v>
                </c:pt>
                <c:pt idx="271">
                  <c:v>-0.13946610754092514</c:v>
                </c:pt>
                <c:pt idx="272">
                  <c:v>-0.38099394997988778</c:v>
                </c:pt>
                <c:pt idx="273">
                  <c:v>-0.63148458890348635</c:v>
                </c:pt>
                <c:pt idx="274">
                  <c:v>-0.62799905693723801</c:v>
                </c:pt>
                <c:pt idx="275">
                  <c:v>1.3104010771128465</c:v>
                </c:pt>
                <c:pt idx="276">
                  <c:v>0.36801747795847817</c:v>
                </c:pt>
                <c:pt idx="277">
                  <c:v>1.3919182685841776</c:v>
                </c:pt>
                <c:pt idx="278">
                  <c:v>-0.37153322035721548</c:v>
                </c:pt>
                <c:pt idx="279">
                  <c:v>-0.56042399333090032</c:v>
                </c:pt>
                <c:pt idx="280">
                  <c:v>-0.43807628454066805</c:v>
                </c:pt>
                <c:pt idx="281">
                  <c:v>-0.6135589959342127</c:v>
                </c:pt>
                <c:pt idx="282">
                  <c:v>-0.39344227843077206</c:v>
                </c:pt>
                <c:pt idx="283">
                  <c:v>1.375984408167044</c:v>
                </c:pt>
                <c:pt idx="284">
                  <c:v>-0.29499536026623918</c:v>
                </c:pt>
                <c:pt idx="285">
                  <c:v>-0.30346022361284053</c:v>
                </c:pt>
                <c:pt idx="286">
                  <c:v>-0.54946946429412158</c:v>
                </c:pt>
                <c:pt idx="287">
                  <c:v>-0.37701048487560396</c:v>
                </c:pt>
                <c:pt idx="288">
                  <c:v>0.73043536292038036</c:v>
                </c:pt>
                <c:pt idx="289">
                  <c:v>-0.40389887432951532</c:v>
                </c:pt>
                <c:pt idx="290">
                  <c:v>-0.45898947633815457</c:v>
                </c:pt>
                <c:pt idx="291">
                  <c:v>-0.45550394437190711</c:v>
                </c:pt>
                <c:pt idx="292">
                  <c:v>-0.54747773174197967</c:v>
                </c:pt>
                <c:pt idx="293">
                  <c:v>-0.51411621149360798</c:v>
                </c:pt>
                <c:pt idx="294">
                  <c:v>-0.44604321474923481</c:v>
                </c:pt>
                <c:pt idx="295">
                  <c:v>0.623985381400467</c:v>
                </c:pt>
                <c:pt idx="296">
                  <c:v>-0.45550394437190711</c:v>
                </c:pt>
                <c:pt idx="297">
                  <c:v>-0.44405148219709289</c:v>
                </c:pt>
                <c:pt idx="298">
                  <c:v>-0.36854562152900261</c:v>
                </c:pt>
                <c:pt idx="299">
                  <c:v>-0.53453147015305902</c:v>
                </c:pt>
                <c:pt idx="300">
                  <c:v>-0.32835688051461087</c:v>
                </c:pt>
                <c:pt idx="301">
                  <c:v>-0.44106388336888003</c:v>
                </c:pt>
                <c:pt idx="302">
                  <c:v>-0.44156181650691551</c:v>
                </c:pt>
                <c:pt idx="303">
                  <c:v>-0.46347087458047298</c:v>
                </c:pt>
                <c:pt idx="304">
                  <c:v>-0.5180996765978918</c:v>
                </c:pt>
                <c:pt idx="305">
                  <c:v>0.37449060875293849</c:v>
                </c:pt>
                <c:pt idx="306">
                  <c:v>-0.52905420563467054</c:v>
                </c:pt>
                <c:pt idx="307">
                  <c:v>0.72246843271181405</c:v>
                </c:pt>
                <c:pt idx="308">
                  <c:v>-0.37053735408114452</c:v>
                </c:pt>
                <c:pt idx="309">
                  <c:v>0.85655042735479281</c:v>
                </c:pt>
                <c:pt idx="310">
                  <c:v>-0.44654114788727028</c:v>
                </c:pt>
                <c:pt idx="311">
                  <c:v>-0.15141650285377395</c:v>
                </c:pt>
                <c:pt idx="312">
                  <c:v>-0.45600187750994259</c:v>
                </c:pt>
                <c:pt idx="313">
                  <c:v>0.37648234130507952</c:v>
                </c:pt>
                <c:pt idx="314">
                  <c:v>-0.28802429633374427</c:v>
                </c:pt>
                <c:pt idx="315">
                  <c:v>-0.30047262478462855</c:v>
                </c:pt>
                <c:pt idx="316">
                  <c:v>-0.30097055792266403</c:v>
                </c:pt>
                <c:pt idx="317">
                  <c:v>-0.39294434529273659</c:v>
                </c:pt>
                <c:pt idx="318">
                  <c:v>4.2489734647079391E-2</c:v>
                </c:pt>
                <c:pt idx="319">
                  <c:v>-0.5514611968462626</c:v>
                </c:pt>
                <c:pt idx="320">
                  <c:v>-0.44355354905905742</c:v>
                </c:pt>
                <c:pt idx="321">
                  <c:v>-0.53751906898127189</c:v>
                </c:pt>
                <c:pt idx="322">
                  <c:v>-0.36954148780507357</c:v>
                </c:pt>
                <c:pt idx="323">
                  <c:v>0.72645189781609742</c:v>
                </c:pt>
                <c:pt idx="324">
                  <c:v>-0.28702843005767331</c:v>
                </c:pt>
                <c:pt idx="325">
                  <c:v>-0.29499536026623918</c:v>
                </c:pt>
                <c:pt idx="326">
                  <c:v>-0.45450807809583615</c:v>
                </c:pt>
                <c:pt idx="327">
                  <c:v>-0.45550394437190711</c:v>
                </c:pt>
                <c:pt idx="328">
                  <c:v>-0.54946946429412158</c:v>
                </c:pt>
                <c:pt idx="329">
                  <c:v>-0.53801700211930736</c:v>
                </c:pt>
                <c:pt idx="330">
                  <c:v>-0.61106933024403531</c:v>
                </c:pt>
                <c:pt idx="331">
                  <c:v>-0.45401014495780068</c:v>
                </c:pt>
                <c:pt idx="332">
                  <c:v>-0.439072150816739</c:v>
                </c:pt>
                <c:pt idx="333">
                  <c:v>-0.43608455198852702</c:v>
                </c:pt>
                <c:pt idx="334">
                  <c:v>1.3954038005504241</c:v>
                </c:pt>
                <c:pt idx="335">
                  <c:v>-0.39394021156880754</c:v>
                </c:pt>
                <c:pt idx="336">
                  <c:v>0.38743687034185825</c:v>
                </c:pt>
                <c:pt idx="337">
                  <c:v>-0.13797230812681871</c:v>
                </c:pt>
                <c:pt idx="338">
                  <c:v>-0.53751906898127189</c:v>
                </c:pt>
                <c:pt idx="339">
                  <c:v>1.3814616726854343</c:v>
                </c:pt>
                <c:pt idx="340">
                  <c:v>-0.54249840036162578</c:v>
                </c:pt>
                <c:pt idx="341">
                  <c:v>0.723464298987885</c:v>
                </c:pt>
                <c:pt idx="342">
                  <c:v>0.62796884650474905</c:v>
                </c:pt>
                <c:pt idx="343">
                  <c:v>-0.6090775976918934</c:v>
                </c:pt>
                <c:pt idx="344">
                  <c:v>-0.37003942094310904</c:v>
                </c:pt>
                <c:pt idx="345">
                  <c:v>1.3540753500934875</c:v>
                </c:pt>
                <c:pt idx="346">
                  <c:v>0.87945535170442035</c:v>
                </c:pt>
                <c:pt idx="347">
                  <c:v>-0.60957553082992888</c:v>
                </c:pt>
                <c:pt idx="348">
                  <c:v>0.72744776409216794</c:v>
                </c:pt>
                <c:pt idx="349">
                  <c:v>-0.53154387132484704</c:v>
                </c:pt>
                <c:pt idx="350">
                  <c:v>-0.30794162185515983</c:v>
                </c:pt>
                <c:pt idx="351">
                  <c:v>1.7229663658498495</c:v>
                </c:pt>
                <c:pt idx="352">
                  <c:v>1.7130077030891417</c:v>
                </c:pt>
                <c:pt idx="353">
                  <c:v>0.72744776409216794</c:v>
                </c:pt>
                <c:pt idx="354">
                  <c:v>-0.52706247308252863</c:v>
                </c:pt>
                <c:pt idx="355">
                  <c:v>-0.532539737600918</c:v>
                </c:pt>
                <c:pt idx="356">
                  <c:v>1.3650298791302662</c:v>
                </c:pt>
                <c:pt idx="357">
                  <c:v>0.6195039831581477</c:v>
                </c:pt>
                <c:pt idx="358">
                  <c:v>-0.44654114788727028</c:v>
                </c:pt>
                <c:pt idx="359">
                  <c:v>-0.45201841240565876</c:v>
                </c:pt>
                <c:pt idx="360">
                  <c:v>0.73242709547252183</c:v>
                </c:pt>
                <c:pt idx="361">
                  <c:v>-0.45948740947619005</c:v>
                </c:pt>
                <c:pt idx="362">
                  <c:v>-0.38099394997988778</c:v>
                </c:pt>
                <c:pt idx="363">
                  <c:v>-0.43708041826459798</c:v>
                </c:pt>
                <c:pt idx="364">
                  <c:v>-0.63397425459366374</c:v>
                </c:pt>
                <c:pt idx="365">
                  <c:v>-0.44654114788727028</c:v>
                </c:pt>
                <c:pt idx="366">
                  <c:v>0.86501529070139416</c:v>
                </c:pt>
                <c:pt idx="367">
                  <c:v>-0.44355354905905742</c:v>
                </c:pt>
                <c:pt idx="368">
                  <c:v>1.3754864750290086</c:v>
                </c:pt>
                <c:pt idx="369">
                  <c:v>-0.37999808370381682</c:v>
                </c:pt>
                <c:pt idx="370">
                  <c:v>0.86152975873514581</c:v>
                </c:pt>
                <c:pt idx="371">
                  <c:v>0.86949668894371257</c:v>
                </c:pt>
                <c:pt idx="372">
                  <c:v>-0.62003212672867214</c:v>
                </c:pt>
                <c:pt idx="373">
                  <c:v>-0.15490203482002141</c:v>
                </c:pt>
                <c:pt idx="374">
                  <c:v>-0.21098850310473249</c:v>
                </c:pt>
                <c:pt idx="375">
                  <c:v>-4.3508855066568763E-2</c:v>
                </c:pt>
                <c:pt idx="376">
                  <c:v>0.72246843271181405</c:v>
                </c:pt>
                <c:pt idx="377">
                  <c:v>-0.36705182211489618</c:v>
                </c:pt>
                <c:pt idx="378">
                  <c:v>0.71201183681307079</c:v>
                </c:pt>
                <c:pt idx="379">
                  <c:v>0.38444927151364627</c:v>
                </c:pt>
                <c:pt idx="380">
                  <c:v>0.61352878550172374</c:v>
                </c:pt>
                <c:pt idx="381">
                  <c:v>-0.38846294705041817</c:v>
                </c:pt>
                <c:pt idx="382">
                  <c:v>0.72993742978234488</c:v>
                </c:pt>
                <c:pt idx="383">
                  <c:v>-0.43957008395477448</c:v>
                </c:pt>
                <c:pt idx="384">
                  <c:v>0.38444927151364627</c:v>
                </c:pt>
                <c:pt idx="385">
                  <c:v>-4.8986119584957244E-2</c:v>
                </c:pt>
                <c:pt idx="386">
                  <c:v>-0.62351765869492048</c:v>
                </c:pt>
                <c:pt idx="387">
                  <c:v>-0.38198981625595874</c:v>
                </c:pt>
                <c:pt idx="388">
                  <c:v>-0.12900951164218188</c:v>
                </c:pt>
                <c:pt idx="389">
                  <c:v>-0.30346022361284053</c:v>
                </c:pt>
                <c:pt idx="390">
                  <c:v>-0.12651984595200449</c:v>
                </c:pt>
                <c:pt idx="391">
                  <c:v>-0.44156181650691551</c:v>
                </c:pt>
                <c:pt idx="392">
                  <c:v>-0.44803494730137583</c:v>
                </c:pt>
                <c:pt idx="393">
                  <c:v>-0.12452811339986258</c:v>
                </c:pt>
                <c:pt idx="394">
                  <c:v>1.3884327366179292</c:v>
                </c:pt>
                <c:pt idx="395">
                  <c:v>-0.29399949399016823</c:v>
                </c:pt>
                <c:pt idx="396">
                  <c:v>-0.44106388336888003</c:v>
                </c:pt>
                <c:pt idx="397">
                  <c:v>-0.37153322035721548</c:v>
                </c:pt>
                <c:pt idx="398">
                  <c:v>-0.187087712479034</c:v>
                </c:pt>
                <c:pt idx="399">
                  <c:v>-3.6039857996038371E-2</c:v>
                </c:pt>
                <c:pt idx="400">
                  <c:v>0.73143122919645132</c:v>
                </c:pt>
                <c:pt idx="401">
                  <c:v>-0.38099394997988778</c:v>
                </c:pt>
                <c:pt idx="402">
                  <c:v>-0.53353560387698895</c:v>
                </c:pt>
                <c:pt idx="403">
                  <c:v>-0.13149917733235839</c:v>
                </c:pt>
                <c:pt idx="404">
                  <c:v>0.36154434716401873</c:v>
                </c:pt>
                <c:pt idx="405">
                  <c:v>-0.30097055792266403</c:v>
                </c:pt>
                <c:pt idx="406">
                  <c:v>-0.28902016260981434</c:v>
                </c:pt>
                <c:pt idx="407">
                  <c:v>-0.29599122654231014</c:v>
                </c:pt>
                <c:pt idx="408">
                  <c:v>-0.28105323240124847</c:v>
                </c:pt>
                <c:pt idx="409">
                  <c:v>-0.62301972555688501</c:v>
                </c:pt>
                <c:pt idx="410">
                  <c:v>-0.55295499626036904</c:v>
                </c:pt>
                <c:pt idx="411">
                  <c:v>-0.45600187750994259</c:v>
                </c:pt>
                <c:pt idx="412">
                  <c:v>-0.52656453994449315</c:v>
                </c:pt>
                <c:pt idx="413">
                  <c:v>-0.53204180446288252</c:v>
                </c:pt>
                <c:pt idx="414">
                  <c:v>-0.44355354905905742</c:v>
                </c:pt>
                <c:pt idx="415">
                  <c:v>-0.38696914763631174</c:v>
                </c:pt>
                <c:pt idx="416">
                  <c:v>-0.3665538889768607</c:v>
                </c:pt>
                <c:pt idx="417">
                  <c:v>-0.45948740947619005</c:v>
                </c:pt>
                <c:pt idx="418">
                  <c:v>-0.44654114788727028</c:v>
                </c:pt>
                <c:pt idx="419">
                  <c:v>-0.5444901329137668</c:v>
                </c:pt>
                <c:pt idx="420">
                  <c:v>-0.38746708077434722</c:v>
                </c:pt>
                <c:pt idx="421">
                  <c:v>0.86700702325353607</c:v>
                </c:pt>
                <c:pt idx="422">
                  <c:v>-0.53652320270520093</c:v>
                </c:pt>
                <c:pt idx="423">
                  <c:v>-0.38597328136024078</c:v>
                </c:pt>
                <c:pt idx="424">
                  <c:v>-0.44355354905905742</c:v>
                </c:pt>
                <c:pt idx="425">
                  <c:v>0.602574256464945</c:v>
                </c:pt>
                <c:pt idx="426">
                  <c:v>-0.45201841240565876</c:v>
                </c:pt>
                <c:pt idx="427">
                  <c:v>0.86152975873514581</c:v>
                </c:pt>
                <c:pt idx="428">
                  <c:v>0.86800288952960614</c:v>
                </c:pt>
                <c:pt idx="429">
                  <c:v>-0.52357694111628117</c:v>
                </c:pt>
                <c:pt idx="430">
                  <c:v>1.3859430709277518</c:v>
                </c:pt>
                <c:pt idx="431">
                  <c:v>-0.52556867366842219</c:v>
                </c:pt>
                <c:pt idx="432">
                  <c:v>0.63693164298938676</c:v>
                </c:pt>
                <c:pt idx="433">
                  <c:v>-0.4068864731577273</c:v>
                </c:pt>
                <c:pt idx="434">
                  <c:v>-0.40887820570986921</c:v>
                </c:pt>
                <c:pt idx="435">
                  <c:v>-0.54648186546590871</c:v>
                </c:pt>
                <c:pt idx="436">
                  <c:v>-0.52706247308252863</c:v>
                </c:pt>
                <c:pt idx="437">
                  <c:v>-0.53353560387698895</c:v>
                </c:pt>
                <c:pt idx="438">
                  <c:v>-0.43160315374620772</c:v>
                </c:pt>
                <c:pt idx="439">
                  <c:v>-0.53054800504877697</c:v>
                </c:pt>
                <c:pt idx="440">
                  <c:v>-0.64194118480222961</c:v>
                </c:pt>
                <c:pt idx="441">
                  <c:v>-0.13847024126485419</c:v>
                </c:pt>
                <c:pt idx="442">
                  <c:v>-0.29001602888588529</c:v>
                </c:pt>
                <c:pt idx="443">
                  <c:v>-0.44803494730137583</c:v>
                </c:pt>
                <c:pt idx="444">
                  <c:v>1.3874368703418583</c:v>
                </c:pt>
                <c:pt idx="445">
                  <c:v>-0.30943542126926538</c:v>
                </c:pt>
                <c:pt idx="446">
                  <c:v>-0.44753701416334124</c:v>
                </c:pt>
                <c:pt idx="447">
                  <c:v>-0.28005736612517751</c:v>
                </c:pt>
                <c:pt idx="448">
                  <c:v>1.3700092105106201</c:v>
                </c:pt>
                <c:pt idx="449">
                  <c:v>-0.5180996765978918</c:v>
                </c:pt>
                <c:pt idx="450">
                  <c:v>-0.39045467960256008</c:v>
                </c:pt>
                <c:pt idx="451">
                  <c:v>-0.55893019391679388</c:v>
                </c:pt>
                <c:pt idx="452">
                  <c:v>0.72993742978234488</c:v>
                </c:pt>
                <c:pt idx="453">
                  <c:v>-0.36107662445847222</c:v>
                </c:pt>
                <c:pt idx="454">
                  <c:v>-0.45500601123387163</c:v>
                </c:pt>
                <c:pt idx="455">
                  <c:v>-0.12353224712379163</c:v>
                </c:pt>
                <c:pt idx="456">
                  <c:v>-0.38647121449827626</c:v>
                </c:pt>
                <c:pt idx="457">
                  <c:v>-0.45948740947619005</c:v>
                </c:pt>
                <c:pt idx="458">
                  <c:v>0.36204228030205421</c:v>
                </c:pt>
                <c:pt idx="459">
                  <c:v>-0.14743303774949101</c:v>
                </c:pt>
                <c:pt idx="460">
                  <c:v>2.2800271556926877</c:v>
                </c:pt>
                <c:pt idx="461">
                  <c:v>-0.5275604062205641</c:v>
                </c:pt>
                <c:pt idx="462">
                  <c:v>-0.53054800504877697</c:v>
                </c:pt>
                <c:pt idx="463">
                  <c:v>-0.53104593818681245</c:v>
                </c:pt>
                <c:pt idx="464">
                  <c:v>0.70653457229468186</c:v>
                </c:pt>
                <c:pt idx="465">
                  <c:v>-0.53751906898127189</c:v>
                </c:pt>
                <c:pt idx="466">
                  <c:v>-0.54050666780948475</c:v>
                </c:pt>
                <c:pt idx="467">
                  <c:v>-0.39543401098291309</c:v>
                </c:pt>
                <c:pt idx="468">
                  <c:v>-0.5275604062205641</c:v>
                </c:pt>
                <c:pt idx="469">
                  <c:v>0.36652367854437173</c:v>
                </c:pt>
                <c:pt idx="470">
                  <c:v>-0.53453147015305902</c:v>
                </c:pt>
                <c:pt idx="471">
                  <c:v>-0.52855627249663506</c:v>
                </c:pt>
                <c:pt idx="472">
                  <c:v>-0.13697644185074775</c:v>
                </c:pt>
                <c:pt idx="473">
                  <c:v>1.3675195448204427</c:v>
                </c:pt>
                <c:pt idx="474">
                  <c:v>-0.376014618599533</c:v>
                </c:pt>
                <c:pt idx="475">
                  <c:v>-0.52108727542610467</c:v>
                </c:pt>
                <c:pt idx="476">
                  <c:v>0.62298951512439604</c:v>
                </c:pt>
                <c:pt idx="477">
                  <c:v>-0.44604321474923481</c:v>
                </c:pt>
                <c:pt idx="478">
                  <c:v>1.3844492715136463</c:v>
                </c:pt>
                <c:pt idx="479">
                  <c:v>1.2899858184533954</c:v>
                </c:pt>
                <c:pt idx="480">
                  <c:v>-0.28453876436749592</c:v>
                </c:pt>
                <c:pt idx="481">
                  <c:v>-0.45251634554369424</c:v>
                </c:pt>
                <c:pt idx="482">
                  <c:v>1.2924754841435728</c:v>
                </c:pt>
                <c:pt idx="483">
                  <c:v>1.3819596058234698</c:v>
                </c:pt>
                <c:pt idx="484">
                  <c:v>-0.36854562152900261</c:v>
                </c:pt>
                <c:pt idx="485">
                  <c:v>0.63045851219492643</c:v>
                </c:pt>
                <c:pt idx="486">
                  <c:v>0.61004325353547539</c:v>
                </c:pt>
                <c:pt idx="487">
                  <c:v>0.7070325054327169</c:v>
                </c:pt>
                <c:pt idx="488">
                  <c:v>0.60506392215512239</c:v>
                </c:pt>
                <c:pt idx="489">
                  <c:v>-0.29051396202392077</c:v>
                </c:pt>
                <c:pt idx="490">
                  <c:v>-0.52258107484021021</c:v>
                </c:pt>
                <c:pt idx="491">
                  <c:v>0.72396223212592048</c:v>
                </c:pt>
                <c:pt idx="492">
                  <c:v>-0.44255768278298646</c:v>
                </c:pt>
                <c:pt idx="493">
                  <c:v>-0.28404083122946044</c:v>
                </c:pt>
                <c:pt idx="494">
                  <c:v>-0.14145784009306617</c:v>
                </c:pt>
                <c:pt idx="495">
                  <c:v>-0.44803494730137583</c:v>
                </c:pt>
                <c:pt idx="496">
                  <c:v>-0.49135513031045441</c:v>
                </c:pt>
                <c:pt idx="497">
                  <c:v>-0.30346022361284053</c:v>
                </c:pt>
                <c:pt idx="498">
                  <c:v>-0.36954148780507357</c:v>
                </c:pt>
                <c:pt idx="499">
                  <c:v>0.60854945412136896</c:v>
                </c:pt>
              </c:numCache>
            </c:numRef>
          </c:yVal>
          <c:smooth val="0"/>
          <c:extLst>
            <c:ext xmlns:c16="http://schemas.microsoft.com/office/drawing/2014/chart" uri="{C3380CC4-5D6E-409C-BE32-E72D297353CC}">
              <c16:uniqueId val="{00000001-9C9A-42A4-919B-99F93BE6B283}"/>
            </c:ext>
          </c:extLst>
        </c:ser>
        <c:dLbls>
          <c:showLegendKey val="0"/>
          <c:showVal val="0"/>
          <c:showCatName val="0"/>
          <c:showSerName val="0"/>
          <c:showPercent val="0"/>
          <c:showBubbleSize val="0"/>
        </c:dLbls>
        <c:axId val="618061056"/>
        <c:axId val="618066816"/>
      </c:scatterChart>
      <c:valAx>
        <c:axId val="618061056"/>
        <c:scaling>
          <c:orientation val="minMax"/>
        </c:scaling>
        <c:delete val="0"/>
        <c:axPos val="b"/>
        <c:title>
          <c:tx>
            <c:rich>
              <a:bodyPr/>
              <a:lstStyle/>
              <a:p>
                <a:pPr>
                  <a:defRPr/>
                </a:pPr>
                <a:r>
                  <a:rPr lang="en-GB"/>
                  <a:t>X10 Approval Time (days)</a:t>
                </a:r>
              </a:p>
            </c:rich>
          </c:tx>
          <c:overlay val="0"/>
        </c:title>
        <c:numFmt formatCode="General" sourceLinked="1"/>
        <c:majorTickMark val="out"/>
        <c:minorTickMark val="none"/>
        <c:tickLblPos val="nextTo"/>
        <c:crossAx val="618066816"/>
        <c:crosses val="autoZero"/>
        <c:crossBetween val="midCat"/>
      </c:valAx>
      <c:valAx>
        <c:axId val="618066816"/>
        <c:scaling>
          <c:orientation val="minMax"/>
        </c:scaling>
        <c:delete val="0"/>
        <c:axPos val="l"/>
        <c:title>
          <c:tx>
            <c:rich>
              <a:bodyPr/>
              <a:lstStyle/>
              <a:p>
                <a:pPr>
                  <a:defRPr/>
                </a:pPr>
                <a:r>
                  <a:rPr lang="en-GB"/>
                  <a:t>Residuals</a:t>
                </a:r>
              </a:p>
            </c:rich>
          </c:tx>
          <c:overlay val="0"/>
        </c:title>
        <c:numFmt formatCode="General" sourceLinked="1"/>
        <c:majorTickMark val="out"/>
        <c:minorTickMark val="none"/>
        <c:tickLblPos val="nextTo"/>
        <c:crossAx val="618061056"/>
        <c:crosses val="autoZero"/>
        <c:crossBetween val="midCat"/>
      </c:valAx>
    </c:plotArea>
    <c:plotVisOnly val="1"/>
    <c:dispBlanksAs val="gap"/>
    <c:showDLblsOverMax val="0"/>
    <c:extLst>
      <c:ext xmlns:c16r3="http://schemas.microsoft.com/office/drawing/2017/03/chart" uri="{56B9EC1D-385E-4148-901F-78D8002777C0}">
        <c16r3:dataDisplayOptions16>
          <c16r3:dispNaAsBlank val="1"/>
        </c16r3:dataDisplayOptions16>
      </c:ext>
    </c:extLst>
  </c:chart>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X11 Wait for Info (days)  Residual Plot</a:t>
            </a:r>
          </a:p>
        </c:rich>
      </c:tx>
      <c:overlay val="0"/>
    </c:title>
    <c:autoTitleDeleted val="0"/>
    <c:plotArea>
      <c:layout/>
      <c:scatterChart>
        <c:scatterStyle val="lineMarker"/>
        <c:varyColors val="0"/>
        <c:ser>
          <c:idx val="0"/>
          <c:order val="0"/>
          <c:spPr>
            <a:ln w="19050">
              <a:noFill/>
            </a:ln>
          </c:spPr>
          <c:xVal>
            <c:numRef>
              <c:f>Regression!$D$4:$D$503</c:f>
              <c:numCache>
                <c:formatCode>General</c:formatCode>
                <c:ptCount val="500"/>
                <c:pt idx="0">
                  <c:v>0</c:v>
                </c:pt>
                <c:pt idx="1">
                  <c:v>0</c:v>
                </c:pt>
                <c:pt idx="2">
                  <c:v>1</c:v>
                </c:pt>
                <c:pt idx="3">
                  <c:v>1</c:v>
                </c:pt>
                <c:pt idx="4">
                  <c:v>1</c:v>
                </c:pt>
                <c:pt idx="5">
                  <c:v>0</c:v>
                </c:pt>
                <c:pt idx="6">
                  <c:v>0</c:v>
                </c:pt>
                <c:pt idx="7">
                  <c:v>0</c:v>
                </c:pt>
                <c:pt idx="8">
                  <c:v>0</c:v>
                </c:pt>
                <c:pt idx="9">
                  <c:v>0</c:v>
                </c:pt>
                <c:pt idx="10">
                  <c:v>0</c:v>
                </c:pt>
                <c:pt idx="11">
                  <c:v>0</c:v>
                </c:pt>
                <c:pt idx="12">
                  <c:v>0</c:v>
                </c:pt>
                <c:pt idx="13">
                  <c:v>2</c:v>
                </c:pt>
                <c:pt idx="14">
                  <c:v>1</c:v>
                </c:pt>
                <c:pt idx="15">
                  <c:v>1</c:v>
                </c:pt>
                <c:pt idx="16">
                  <c:v>0</c:v>
                </c:pt>
                <c:pt idx="17">
                  <c:v>0</c:v>
                </c:pt>
                <c:pt idx="18">
                  <c:v>0</c:v>
                </c:pt>
                <c:pt idx="19">
                  <c:v>1</c:v>
                </c:pt>
                <c:pt idx="20">
                  <c:v>0</c:v>
                </c:pt>
                <c:pt idx="21">
                  <c:v>0</c:v>
                </c:pt>
                <c:pt idx="22">
                  <c:v>0</c:v>
                </c:pt>
                <c:pt idx="23">
                  <c:v>0</c:v>
                </c:pt>
                <c:pt idx="24">
                  <c:v>1</c:v>
                </c:pt>
                <c:pt idx="25">
                  <c:v>0</c:v>
                </c:pt>
                <c:pt idx="26">
                  <c:v>0</c:v>
                </c:pt>
                <c:pt idx="27">
                  <c:v>0</c:v>
                </c:pt>
                <c:pt idx="28">
                  <c:v>0</c:v>
                </c:pt>
                <c:pt idx="29">
                  <c:v>0</c:v>
                </c:pt>
                <c:pt idx="30">
                  <c:v>0</c:v>
                </c:pt>
                <c:pt idx="31">
                  <c:v>0</c:v>
                </c:pt>
                <c:pt idx="32">
                  <c:v>0</c:v>
                </c:pt>
                <c:pt idx="33">
                  <c:v>0</c:v>
                </c:pt>
                <c:pt idx="34">
                  <c:v>0</c:v>
                </c:pt>
                <c:pt idx="35">
                  <c:v>1</c:v>
                </c:pt>
                <c:pt idx="36">
                  <c:v>1</c:v>
                </c:pt>
                <c:pt idx="37">
                  <c:v>0</c:v>
                </c:pt>
                <c:pt idx="38">
                  <c:v>2</c:v>
                </c:pt>
                <c:pt idx="39">
                  <c:v>0</c:v>
                </c:pt>
                <c:pt idx="40">
                  <c:v>2</c:v>
                </c:pt>
                <c:pt idx="41">
                  <c:v>1</c:v>
                </c:pt>
                <c:pt idx="42">
                  <c:v>1</c:v>
                </c:pt>
                <c:pt idx="43">
                  <c:v>1</c:v>
                </c:pt>
                <c:pt idx="44">
                  <c:v>0</c:v>
                </c:pt>
                <c:pt idx="45">
                  <c:v>1</c:v>
                </c:pt>
                <c:pt idx="46">
                  <c:v>0</c:v>
                </c:pt>
                <c:pt idx="47">
                  <c:v>0</c:v>
                </c:pt>
                <c:pt idx="48">
                  <c:v>0</c:v>
                </c:pt>
                <c:pt idx="49">
                  <c:v>0</c:v>
                </c:pt>
                <c:pt idx="50">
                  <c:v>0</c:v>
                </c:pt>
                <c:pt idx="51">
                  <c:v>2</c:v>
                </c:pt>
                <c:pt idx="52">
                  <c:v>1</c:v>
                </c:pt>
                <c:pt idx="53">
                  <c:v>1</c:v>
                </c:pt>
                <c:pt idx="54">
                  <c:v>0</c:v>
                </c:pt>
                <c:pt idx="55">
                  <c:v>0</c:v>
                </c:pt>
                <c:pt idx="56">
                  <c:v>1</c:v>
                </c:pt>
                <c:pt idx="57">
                  <c:v>2</c:v>
                </c:pt>
                <c:pt idx="58">
                  <c:v>1</c:v>
                </c:pt>
                <c:pt idx="59">
                  <c:v>0</c:v>
                </c:pt>
                <c:pt idx="60">
                  <c:v>1</c:v>
                </c:pt>
                <c:pt idx="61">
                  <c:v>0</c:v>
                </c:pt>
                <c:pt idx="62">
                  <c:v>0</c:v>
                </c:pt>
                <c:pt idx="63">
                  <c:v>1</c:v>
                </c:pt>
                <c:pt idx="64">
                  <c:v>0</c:v>
                </c:pt>
                <c:pt idx="65">
                  <c:v>0</c:v>
                </c:pt>
                <c:pt idx="66">
                  <c:v>1</c:v>
                </c:pt>
                <c:pt idx="67">
                  <c:v>0</c:v>
                </c:pt>
                <c:pt idx="68">
                  <c:v>0</c:v>
                </c:pt>
                <c:pt idx="69">
                  <c:v>0</c:v>
                </c:pt>
                <c:pt idx="70">
                  <c:v>1</c:v>
                </c:pt>
                <c:pt idx="71">
                  <c:v>0</c:v>
                </c:pt>
                <c:pt idx="72">
                  <c:v>0</c:v>
                </c:pt>
                <c:pt idx="73">
                  <c:v>0</c:v>
                </c:pt>
                <c:pt idx="74">
                  <c:v>0</c:v>
                </c:pt>
                <c:pt idx="75">
                  <c:v>1</c:v>
                </c:pt>
                <c:pt idx="76">
                  <c:v>1</c:v>
                </c:pt>
                <c:pt idx="77">
                  <c:v>1</c:v>
                </c:pt>
                <c:pt idx="78">
                  <c:v>0</c:v>
                </c:pt>
                <c:pt idx="79">
                  <c:v>0</c:v>
                </c:pt>
                <c:pt idx="80">
                  <c:v>0</c:v>
                </c:pt>
                <c:pt idx="81">
                  <c:v>0</c:v>
                </c:pt>
                <c:pt idx="82">
                  <c:v>1</c:v>
                </c:pt>
                <c:pt idx="83">
                  <c:v>1</c:v>
                </c:pt>
                <c:pt idx="84">
                  <c:v>1</c:v>
                </c:pt>
                <c:pt idx="85">
                  <c:v>1</c:v>
                </c:pt>
                <c:pt idx="86">
                  <c:v>1</c:v>
                </c:pt>
                <c:pt idx="87">
                  <c:v>1</c:v>
                </c:pt>
                <c:pt idx="88">
                  <c:v>0</c:v>
                </c:pt>
                <c:pt idx="89">
                  <c:v>1</c:v>
                </c:pt>
                <c:pt idx="90">
                  <c:v>1</c:v>
                </c:pt>
                <c:pt idx="91">
                  <c:v>0</c:v>
                </c:pt>
                <c:pt idx="92">
                  <c:v>0</c:v>
                </c:pt>
                <c:pt idx="93">
                  <c:v>0</c:v>
                </c:pt>
                <c:pt idx="94">
                  <c:v>1</c:v>
                </c:pt>
                <c:pt idx="95">
                  <c:v>1</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1</c:v>
                </c:pt>
                <c:pt idx="110">
                  <c:v>0</c:v>
                </c:pt>
                <c:pt idx="111">
                  <c:v>1</c:v>
                </c:pt>
                <c:pt idx="112">
                  <c:v>0</c:v>
                </c:pt>
                <c:pt idx="113">
                  <c:v>0</c:v>
                </c:pt>
                <c:pt idx="114">
                  <c:v>1</c:v>
                </c:pt>
                <c:pt idx="115">
                  <c:v>0</c:v>
                </c:pt>
                <c:pt idx="116">
                  <c:v>0</c:v>
                </c:pt>
                <c:pt idx="117">
                  <c:v>0</c:v>
                </c:pt>
                <c:pt idx="118">
                  <c:v>1</c:v>
                </c:pt>
                <c:pt idx="119">
                  <c:v>1</c:v>
                </c:pt>
                <c:pt idx="120">
                  <c:v>1</c:v>
                </c:pt>
                <c:pt idx="121">
                  <c:v>2</c:v>
                </c:pt>
                <c:pt idx="122">
                  <c:v>0</c:v>
                </c:pt>
                <c:pt idx="123">
                  <c:v>0</c:v>
                </c:pt>
                <c:pt idx="124">
                  <c:v>0</c:v>
                </c:pt>
                <c:pt idx="125">
                  <c:v>0</c:v>
                </c:pt>
                <c:pt idx="126">
                  <c:v>0</c:v>
                </c:pt>
                <c:pt idx="127">
                  <c:v>0</c:v>
                </c:pt>
                <c:pt idx="128">
                  <c:v>0</c:v>
                </c:pt>
                <c:pt idx="129">
                  <c:v>0</c:v>
                </c:pt>
                <c:pt idx="130">
                  <c:v>1</c:v>
                </c:pt>
                <c:pt idx="131">
                  <c:v>1</c:v>
                </c:pt>
                <c:pt idx="132">
                  <c:v>1</c:v>
                </c:pt>
                <c:pt idx="133">
                  <c:v>0</c:v>
                </c:pt>
                <c:pt idx="134">
                  <c:v>0</c:v>
                </c:pt>
                <c:pt idx="135">
                  <c:v>0</c:v>
                </c:pt>
                <c:pt idx="136">
                  <c:v>0</c:v>
                </c:pt>
                <c:pt idx="137">
                  <c:v>0</c:v>
                </c:pt>
                <c:pt idx="138">
                  <c:v>0</c:v>
                </c:pt>
                <c:pt idx="139">
                  <c:v>1</c:v>
                </c:pt>
                <c:pt idx="140">
                  <c:v>1</c:v>
                </c:pt>
                <c:pt idx="141">
                  <c:v>1</c:v>
                </c:pt>
                <c:pt idx="142">
                  <c:v>0</c:v>
                </c:pt>
                <c:pt idx="143">
                  <c:v>0</c:v>
                </c:pt>
                <c:pt idx="144">
                  <c:v>0</c:v>
                </c:pt>
                <c:pt idx="145">
                  <c:v>1</c:v>
                </c:pt>
                <c:pt idx="146">
                  <c:v>1</c:v>
                </c:pt>
                <c:pt idx="147">
                  <c:v>0</c:v>
                </c:pt>
                <c:pt idx="148">
                  <c:v>0</c:v>
                </c:pt>
                <c:pt idx="149">
                  <c:v>0</c:v>
                </c:pt>
                <c:pt idx="150">
                  <c:v>0</c:v>
                </c:pt>
                <c:pt idx="151">
                  <c:v>0</c:v>
                </c:pt>
                <c:pt idx="152">
                  <c:v>0</c:v>
                </c:pt>
                <c:pt idx="153">
                  <c:v>2</c:v>
                </c:pt>
                <c:pt idx="154">
                  <c:v>0</c:v>
                </c:pt>
                <c:pt idx="155">
                  <c:v>0</c:v>
                </c:pt>
                <c:pt idx="156">
                  <c:v>2</c:v>
                </c:pt>
                <c:pt idx="157">
                  <c:v>0</c:v>
                </c:pt>
                <c:pt idx="158">
                  <c:v>0</c:v>
                </c:pt>
                <c:pt idx="159">
                  <c:v>0</c:v>
                </c:pt>
                <c:pt idx="160">
                  <c:v>0</c:v>
                </c:pt>
                <c:pt idx="161">
                  <c:v>0</c:v>
                </c:pt>
                <c:pt idx="162">
                  <c:v>0</c:v>
                </c:pt>
                <c:pt idx="163">
                  <c:v>0</c:v>
                </c:pt>
                <c:pt idx="164">
                  <c:v>0</c:v>
                </c:pt>
                <c:pt idx="165">
                  <c:v>2</c:v>
                </c:pt>
                <c:pt idx="166">
                  <c:v>0</c:v>
                </c:pt>
                <c:pt idx="167">
                  <c:v>0</c:v>
                </c:pt>
                <c:pt idx="168">
                  <c:v>0</c:v>
                </c:pt>
                <c:pt idx="169">
                  <c:v>2</c:v>
                </c:pt>
                <c:pt idx="170">
                  <c:v>0</c:v>
                </c:pt>
                <c:pt idx="171">
                  <c:v>0</c:v>
                </c:pt>
                <c:pt idx="172">
                  <c:v>2</c:v>
                </c:pt>
                <c:pt idx="173">
                  <c:v>1</c:v>
                </c:pt>
                <c:pt idx="174">
                  <c:v>1</c:v>
                </c:pt>
                <c:pt idx="175">
                  <c:v>2</c:v>
                </c:pt>
                <c:pt idx="176">
                  <c:v>0</c:v>
                </c:pt>
                <c:pt idx="177">
                  <c:v>0</c:v>
                </c:pt>
                <c:pt idx="178">
                  <c:v>1</c:v>
                </c:pt>
                <c:pt idx="179">
                  <c:v>0</c:v>
                </c:pt>
                <c:pt idx="180">
                  <c:v>0</c:v>
                </c:pt>
                <c:pt idx="181">
                  <c:v>0</c:v>
                </c:pt>
                <c:pt idx="182">
                  <c:v>1</c:v>
                </c:pt>
                <c:pt idx="183">
                  <c:v>0</c:v>
                </c:pt>
                <c:pt idx="184">
                  <c:v>0</c:v>
                </c:pt>
                <c:pt idx="185">
                  <c:v>0</c:v>
                </c:pt>
                <c:pt idx="186">
                  <c:v>0</c:v>
                </c:pt>
                <c:pt idx="187">
                  <c:v>2</c:v>
                </c:pt>
                <c:pt idx="188">
                  <c:v>2</c:v>
                </c:pt>
                <c:pt idx="189">
                  <c:v>0</c:v>
                </c:pt>
                <c:pt idx="190">
                  <c:v>0</c:v>
                </c:pt>
                <c:pt idx="191">
                  <c:v>1</c:v>
                </c:pt>
                <c:pt idx="192">
                  <c:v>0</c:v>
                </c:pt>
                <c:pt idx="193">
                  <c:v>0</c:v>
                </c:pt>
                <c:pt idx="194">
                  <c:v>1</c:v>
                </c:pt>
                <c:pt idx="195">
                  <c:v>1</c:v>
                </c:pt>
                <c:pt idx="196">
                  <c:v>0</c:v>
                </c:pt>
                <c:pt idx="197">
                  <c:v>2</c:v>
                </c:pt>
                <c:pt idx="198">
                  <c:v>0</c:v>
                </c:pt>
                <c:pt idx="199">
                  <c:v>2</c:v>
                </c:pt>
                <c:pt idx="200">
                  <c:v>0</c:v>
                </c:pt>
                <c:pt idx="201">
                  <c:v>0</c:v>
                </c:pt>
                <c:pt idx="202">
                  <c:v>0</c:v>
                </c:pt>
                <c:pt idx="203">
                  <c:v>1</c:v>
                </c:pt>
                <c:pt idx="204">
                  <c:v>1</c:v>
                </c:pt>
                <c:pt idx="205">
                  <c:v>0</c:v>
                </c:pt>
                <c:pt idx="206">
                  <c:v>0</c:v>
                </c:pt>
                <c:pt idx="207">
                  <c:v>1</c:v>
                </c:pt>
                <c:pt idx="208">
                  <c:v>0</c:v>
                </c:pt>
                <c:pt idx="209">
                  <c:v>0</c:v>
                </c:pt>
                <c:pt idx="210">
                  <c:v>0</c:v>
                </c:pt>
                <c:pt idx="211">
                  <c:v>1</c:v>
                </c:pt>
                <c:pt idx="212">
                  <c:v>0</c:v>
                </c:pt>
                <c:pt idx="213">
                  <c:v>0</c:v>
                </c:pt>
                <c:pt idx="214">
                  <c:v>0</c:v>
                </c:pt>
                <c:pt idx="215">
                  <c:v>0</c:v>
                </c:pt>
                <c:pt idx="216">
                  <c:v>0</c:v>
                </c:pt>
                <c:pt idx="217">
                  <c:v>0</c:v>
                </c:pt>
                <c:pt idx="218">
                  <c:v>1</c:v>
                </c:pt>
                <c:pt idx="219">
                  <c:v>0</c:v>
                </c:pt>
                <c:pt idx="220">
                  <c:v>0</c:v>
                </c:pt>
                <c:pt idx="221">
                  <c:v>2</c:v>
                </c:pt>
                <c:pt idx="222">
                  <c:v>1</c:v>
                </c:pt>
                <c:pt idx="223">
                  <c:v>0</c:v>
                </c:pt>
                <c:pt idx="224">
                  <c:v>0</c:v>
                </c:pt>
                <c:pt idx="225">
                  <c:v>1</c:v>
                </c:pt>
                <c:pt idx="226">
                  <c:v>0</c:v>
                </c:pt>
                <c:pt idx="227">
                  <c:v>0</c:v>
                </c:pt>
                <c:pt idx="228">
                  <c:v>1</c:v>
                </c:pt>
                <c:pt idx="229">
                  <c:v>1</c:v>
                </c:pt>
                <c:pt idx="230">
                  <c:v>0</c:v>
                </c:pt>
                <c:pt idx="231">
                  <c:v>1</c:v>
                </c:pt>
                <c:pt idx="232">
                  <c:v>0</c:v>
                </c:pt>
                <c:pt idx="233">
                  <c:v>0</c:v>
                </c:pt>
                <c:pt idx="234">
                  <c:v>2</c:v>
                </c:pt>
                <c:pt idx="235">
                  <c:v>0</c:v>
                </c:pt>
                <c:pt idx="236">
                  <c:v>0</c:v>
                </c:pt>
                <c:pt idx="237">
                  <c:v>0</c:v>
                </c:pt>
                <c:pt idx="238">
                  <c:v>0</c:v>
                </c:pt>
                <c:pt idx="239">
                  <c:v>1</c:v>
                </c:pt>
                <c:pt idx="240">
                  <c:v>0</c:v>
                </c:pt>
                <c:pt idx="241">
                  <c:v>0</c:v>
                </c:pt>
                <c:pt idx="242">
                  <c:v>0</c:v>
                </c:pt>
                <c:pt idx="243">
                  <c:v>0</c:v>
                </c:pt>
                <c:pt idx="244">
                  <c:v>2</c:v>
                </c:pt>
                <c:pt idx="245">
                  <c:v>0</c:v>
                </c:pt>
                <c:pt idx="246">
                  <c:v>0</c:v>
                </c:pt>
                <c:pt idx="247">
                  <c:v>0</c:v>
                </c:pt>
                <c:pt idx="248">
                  <c:v>1</c:v>
                </c:pt>
                <c:pt idx="249">
                  <c:v>1</c:v>
                </c:pt>
                <c:pt idx="250">
                  <c:v>1</c:v>
                </c:pt>
                <c:pt idx="251">
                  <c:v>0</c:v>
                </c:pt>
                <c:pt idx="252">
                  <c:v>0</c:v>
                </c:pt>
                <c:pt idx="253">
                  <c:v>1</c:v>
                </c:pt>
                <c:pt idx="254">
                  <c:v>1</c:v>
                </c:pt>
                <c:pt idx="255">
                  <c:v>0</c:v>
                </c:pt>
                <c:pt idx="256">
                  <c:v>0</c:v>
                </c:pt>
                <c:pt idx="257">
                  <c:v>0</c:v>
                </c:pt>
                <c:pt idx="258">
                  <c:v>0</c:v>
                </c:pt>
                <c:pt idx="259">
                  <c:v>1</c:v>
                </c:pt>
                <c:pt idx="260">
                  <c:v>1</c:v>
                </c:pt>
                <c:pt idx="261">
                  <c:v>1</c:v>
                </c:pt>
                <c:pt idx="262">
                  <c:v>2</c:v>
                </c:pt>
                <c:pt idx="263">
                  <c:v>0</c:v>
                </c:pt>
                <c:pt idx="264">
                  <c:v>1</c:v>
                </c:pt>
                <c:pt idx="265">
                  <c:v>2</c:v>
                </c:pt>
                <c:pt idx="266">
                  <c:v>0</c:v>
                </c:pt>
                <c:pt idx="267">
                  <c:v>2</c:v>
                </c:pt>
                <c:pt idx="268">
                  <c:v>0</c:v>
                </c:pt>
                <c:pt idx="269">
                  <c:v>0</c:v>
                </c:pt>
                <c:pt idx="270">
                  <c:v>0</c:v>
                </c:pt>
                <c:pt idx="271">
                  <c:v>2</c:v>
                </c:pt>
                <c:pt idx="272">
                  <c:v>1</c:v>
                </c:pt>
                <c:pt idx="273">
                  <c:v>0</c:v>
                </c:pt>
                <c:pt idx="274">
                  <c:v>0</c:v>
                </c:pt>
                <c:pt idx="275">
                  <c:v>0</c:v>
                </c:pt>
                <c:pt idx="276">
                  <c:v>0</c:v>
                </c:pt>
                <c:pt idx="277">
                  <c:v>0</c:v>
                </c:pt>
                <c:pt idx="278">
                  <c:v>1</c:v>
                </c:pt>
                <c:pt idx="279">
                  <c:v>0</c:v>
                </c:pt>
                <c:pt idx="280">
                  <c:v>0</c:v>
                </c:pt>
                <c:pt idx="281">
                  <c:v>0</c:v>
                </c:pt>
                <c:pt idx="282">
                  <c:v>1</c:v>
                </c:pt>
                <c:pt idx="283">
                  <c:v>0</c:v>
                </c:pt>
                <c:pt idx="284">
                  <c:v>1</c:v>
                </c:pt>
                <c:pt idx="285">
                  <c:v>1</c:v>
                </c:pt>
                <c:pt idx="286">
                  <c:v>0</c:v>
                </c:pt>
                <c:pt idx="287">
                  <c:v>1</c:v>
                </c:pt>
                <c:pt idx="288">
                  <c:v>0</c:v>
                </c:pt>
                <c:pt idx="289">
                  <c:v>1</c:v>
                </c:pt>
                <c:pt idx="290">
                  <c:v>0</c:v>
                </c:pt>
                <c:pt idx="291">
                  <c:v>0</c:v>
                </c:pt>
                <c:pt idx="292">
                  <c:v>0</c:v>
                </c:pt>
                <c:pt idx="293">
                  <c:v>0</c:v>
                </c:pt>
                <c:pt idx="294">
                  <c:v>0</c:v>
                </c:pt>
                <c:pt idx="295">
                  <c:v>1</c:v>
                </c:pt>
                <c:pt idx="296">
                  <c:v>0</c:v>
                </c:pt>
                <c:pt idx="297">
                  <c:v>0</c:v>
                </c:pt>
                <c:pt idx="298">
                  <c:v>1</c:v>
                </c:pt>
                <c:pt idx="299">
                  <c:v>0</c:v>
                </c:pt>
                <c:pt idx="300">
                  <c:v>1</c:v>
                </c:pt>
                <c:pt idx="301">
                  <c:v>0</c:v>
                </c:pt>
                <c:pt idx="302">
                  <c:v>0</c:v>
                </c:pt>
                <c:pt idx="303">
                  <c:v>0</c:v>
                </c:pt>
                <c:pt idx="304">
                  <c:v>0</c:v>
                </c:pt>
                <c:pt idx="305">
                  <c:v>0</c:v>
                </c:pt>
                <c:pt idx="306">
                  <c:v>0</c:v>
                </c:pt>
                <c:pt idx="307">
                  <c:v>0</c:v>
                </c:pt>
                <c:pt idx="308">
                  <c:v>1</c:v>
                </c:pt>
                <c:pt idx="309">
                  <c:v>2</c:v>
                </c:pt>
                <c:pt idx="310">
                  <c:v>0</c:v>
                </c:pt>
                <c:pt idx="311">
                  <c:v>2</c:v>
                </c:pt>
                <c:pt idx="312">
                  <c:v>0</c:v>
                </c:pt>
                <c:pt idx="313">
                  <c:v>0</c:v>
                </c:pt>
                <c:pt idx="314">
                  <c:v>1</c:v>
                </c:pt>
                <c:pt idx="315">
                  <c:v>1</c:v>
                </c:pt>
                <c:pt idx="316">
                  <c:v>1</c:v>
                </c:pt>
                <c:pt idx="317">
                  <c:v>1</c:v>
                </c:pt>
                <c:pt idx="318">
                  <c:v>2</c:v>
                </c:pt>
                <c:pt idx="319">
                  <c:v>0</c:v>
                </c:pt>
                <c:pt idx="320">
                  <c:v>0</c:v>
                </c:pt>
                <c:pt idx="321">
                  <c:v>0</c:v>
                </c:pt>
                <c:pt idx="322">
                  <c:v>1</c:v>
                </c:pt>
                <c:pt idx="323">
                  <c:v>0</c:v>
                </c:pt>
                <c:pt idx="324">
                  <c:v>1</c:v>
                </c:pt>
                <c:pt idx="325">
                  <c:v>1</c:v>
                </c:pt>
                <c:pt idx="326">
                  <c:v>0</c:v>
                </c:pt>
                <c:pt idx="327">
                  <c:v>0</c:v>
                </c:pt>
                <c:pt idx="328">
                  <c:v>0</c:v>
                </c:pt>
                <c:pt idx="329">
                  <c:v>0</c:v>
                </c:pt>
                <c:pt idx="330">
                  <c:v>0</c:v>
                </c:pt>
                <c:pt idx="331">
                  <c:v>0</c:v>
                </c:pt>
                <c:pt idx="332">
                  <c:v>0</c:v>
                </c:pt>
                <c:pt idx="333">
                  <c:v>0</c:v>
                </c:pt>
                <c:pt idx="334">
                  <c:v>0</c:v>
                </c:pt>
                <c:pt idx="335">
                  <c:v>1</c:v>
                </c:pt>
                <c:pt idx="336">
                  <c:v>0</c:v>
                </c:pt>
                <c:pt idx="337">
                  <c:v>2</c:v>
                </c:pt>
                <c:pt idx="338">
                  <c:v>0</c:v>
                </c:pt>
                <c:pt idx="339">
                  <c:v>0</c:v>
                </c:pt>
                <c:pt idx="340">
                  <c:v>0</c:v>
                </c:pt>
                <c:pt idx="341">
                  <c:v>0</c:v>
                </c:pt>
                <c:pt idx="342">
                  <c:v>1</c:v>
                </c:pt>
                <c:pt idx="343">
                  <c:v>0</c:v>
                </c:pt>
                <c:pt idx="344">
                  <c:v>1</c:v>
                </c:pt>
                <c:pt idx="345">
                  <c:v>0</c:v>
                </c:pt>
                <c:pt idx="346">
                  <c:v>2</c:v>
                </c:pt>
                <c:pt idx="347">
                  <c:v>0</c:v>
                </c:pt>
                <c:pt idx="348">
                  <c:v>0</c:v>
                </c:pt>
                <c:pt idx="349">
                  <c:v>0</c:v>
                </c:pt>
                <c:pt idx="350">
                  <c:v>1</c:v>
                </c:pt>
                <c:pt idx="351">
                  <c:v>0</c:v>
                </c:pt>
                <c:pt idx="352">
                  <c:v>0</c:v>
                </c:pt>
                <c:pt idx="353">
                  <c:v>0</c:v>
                </c:pt>
                <c:pt idx="354">
                  <c:v>0</c:v>
                </c:pt>
                <c:pt idx="355">
                  <c:v>0</c:v>
                </c:pt>
                <c:pt idx="356">
                  <c:v>0</c:v>
                </c:pt>
                <c:pt idx="357">
                  <c:v>1</c:v>
                </c:pt>
                <c:pt idx="358">
                  <c:v>0</c:v>
                </c:pt>
                <c:pt idx="359">
                  <c:v>0</c:v>
                </c:pt>
                <c:pt idx="360">
                  <c:v>0</c:v>
                </c:pt>
                <c:pt idx="361">
                  <c:v>0</c:v>
                </c:pt>
                <c:pt idx="362">
                  <c:v>1</c:v>
                </c:pt>
                <c:pt idx="363">
                  <c:v>0</c:v>
                </c:pt>
                <c:pt idx="364">
                  <c:v>0</c:v>
                </c:pt>
                <c:pt idx="365">
                  <c:v>0</c:v>
                </c:pt>
                <c:pt idx="366">
                  <c:v>2</c:v>
                </c:pt>
                <c:pt idx="367">
                  <c:v>0</c:v>
                </c:pt>
                <c:pt idx="368">
                  <c:v>0</c:v>
                </c:pt>
                <c:pt idx="369">
                  <c:v>1</c:v>
                </c:pt>
                <c:pt idx="370">
                  <c:v>2</c:v>
                </c:pt>
                <c:pt idx="371">
                  <c:v>2</c:v>
                </c:pt>
                <c:pt idx="372">
                  <c:v>0</c:v>
                </c:pt>
                <c:pt idx="373">
                  <c:v>2</c:v>
                </c:pt>
                <c:pt idx="374">
                  <c:v>1</c:v>
                </c:pt>
                <c:pt idx="375">
                  <c:v>2</c:v>
                </c:pt>
                <c:pt idx="376">
                  <c:v>0</c:v>
                </c:pt>
                <c:pt idx="377">
                  <c:v>1</c:v>
                </c:pt>
                <c:pt idx="378">
                  <c:v>0</c:v>
                </c:pt>
                <c:pt idx="379">
                  <c:v>0</c:v>
                </c:pt>
                <c:pt idx="380">
                  <c:v>1</c:v>
                </c:pt>
                <c:pt idx="381">
                  <c:v>1</c:v>
                </c:pt>
                <c:pt idx="382">
                  <c:v>0</c:v>
                </c:pt>
                <c:pt idx="383">
                  <c:v>0</c:v>
                </c:pt>
                <c:pt idx="384">
                  <c:v>0</c:v>
                </c:pt>
                <c:pt idx="385">
                  <c:v>2</c:v>
                </c:pt>
                <c:pt idx="386">
                  <c:v>0</c:v>
                </c:pt>
                <c:pt idx="387">
                  <c:v>1</c:v>
                </c:pt>
                <c:pt idx="388">
                  <c:v>2</c:v>
                </c:pt>
                <c:pt idx="389">
                  <c:v>1</c:v>
                </c:pt>
                <c:pt idx="390">
                  <c:v>2</c:v>
                </c:pt>
                <c:pt idx="391">
                  <c:v>0</c:v>
                </c:pt>
                <c:pt idx="392">
                  <c:v>0</c:v>
                </c:pt>
                <c:pt idx="393">
                  <c:v>2</c:v>
                </c:pt>
                <c:pt idx="394">
                  <c:v>0</c:v>
                </c:pt>
                <c:pt idx="395">
                  <c:v>1</c:v>
                </c:pt>
                <c:pt idx="396">
                  <c:v>0</c:v>
                </c:pt>
                <c:pt idx="397">
                  <c:v>1</c:v>
                </c:pt>
                <c:pt idx="398">
                  <c:v>1</c:v>
                </c:pt>
                <c:pt idx="399">
                  <c:v>2</c:v>
                </c:pt>
                <c:pt idx="400">
                  <c:v>0</c:v>
                </c:pt>
                <c:pt idx="401">
                  <c:v>1</c:v>
                </c:pt>
                <c:pt idx="402">
                  <c:v>0</c:v>
                </c:pt>
                <c:pt idx="403">
                  <c:v>2</c:v>
                </c:pt>
                <c:pt idx="404">
                  <c:v>0</c:v>
                </c:pt>
                <c:pt idx="405">
                  <c:v>1</c:v>
                </c:pt>
                <c:pt idx="406">
                  <c:v>1</c:v>
                </c:pt>
                <c:pt idx="407">
                  <c:v>1</c:v>
                </c:pt>
                <c:pt idx="408">
                  <c:v>1</c:v>
                </c:pt>
                <c:pt idx="409">
                  <c:v>0</c:v>
                </c:pt>
                <c:pt idx="410">
                  <c:v>0</c:v>
                </c:pt>
                <c:pt idx="411">
                  <c:v>0</c:v>
                </c:pt>
                <c:pt idx="412">
                  <c:v>0</c:v>
                </c:pt>
                <c:pt idx="413">
                  <c:v>0</c:v>
                </c:pt>
                <c:pt idx="414">
                  <c:v>0</c:v>
                </c:pt>
                <c:pt idx="415">
                  <c:v>1</c:v>
                </c:pt>
                <c:pt idx="416">
                  <c:v>1</c:v>
                </c:pt>
                <c:pt idx="417">
                  <c:v>0</c:v>
                </c:pt>
                <c:pt idx="418">
                  <c:v>0</c:v>
                </c:pt>
                <c:pt idx="419">
                  <c:v>0</c:v>
                </c:pt>
                <c:pt idx="420">
                  <c:v>1</c:v>
                </c:pt>
                <c:pt idx="421">
                  <c:v>2</c:v>
                </c:pt>
                <c:pt idx="422">
                  <c:v>0</c:v>
                </c:pt>
                <c:pt idx="423">
                  <c:v>1</c:v>
                </c:pt>
                <c:pt idx="424">
                  <c:v>0</c:v>
                </c:pt>
                <c:pt idx="425">
                  <c:v>1</c:v>
                </c:pt>
                <c:pt idx="426">
                  <c:v>0</c:v>
                </c:pt>
                <c:pt idx="427">
                  <c:v>2</c:v>
                </c:pt>
                <c:pt idx="428">
                  <c:v>2</c:v>
                </c:pt>
                <c:pt idx="429">
                  <c:v>0</c:v>
                </c:pt>
                <c:pt idx="430">
                  <c:v>0</c:v>
                </c:pt>
                <c:pt idx="431">
                  <c:v>0</c:v>
                </c:pt>
                <c:pt idx="432">
                  <c:v>1</c:v>
                </c:pt>
                <c:pt idx="433">
                  <c:v>1</c:v>
                </c:pt>
                <c:pt idx="434">
                  <c:v>1</c:v>
                </c:pt>
                <c:pt idx="435">
                  <c:v>0</c:v>
                </c:pt>
                <c:pt idx="436">
                  <c:v>0</c:v>
                </c:pt>
                <c:pt idx="437">
                  <c:v>0</c:v>
                </c:pt>
                <c:pt idx="438">
                  <c:v>0</c:v>
                </c:pt>
                <c:pt idx="439">
                  <c:v>0</c:v>
                </c:pt>
                <c:pt idx="440">
                  <c:v>0</c:v>
                </c:pt>
                <c:pt idx="441">
                  <c:v>2</c:v>
                </c:pt>
                <c:pt idx="442">
                  <c:v>1</c:v>
                </c:pt>
                <c:pt idx="443">
                  <c:v>0</c:v>
                </c:pt>
                <c:pt idx="444">
                  <c:v>0</c:v>
                </c:pt>
                <c:pt idx="445">
                  <c:v>1</c:v>
                </c:pt>
                <c:pt idx="446">
                  <c:v>0</c:v>
                </c:pt>
                <c:pt idx="447">
                  <c:v>1</c:v>
                </c:pt>
                <c:pt idx="448">
                  <c:v>0</c:v>
                </c:pt>
                <c:pt idx="449">
                  <c:v>0</c:v>
                </c:pt>
                <c:pt idx="450">
                  <c:v>1</c:v>
                </c:pt>
                <c:pt idx="451">
                  <c:v>0</c:v>
                </c:pt>
                <c:pt idx="452">
                  <c:v>0</c:v>
                </c:pt>
                <c:pt idx="453">
                  <c:v>1</c:v>
                </c:pt>
                <c:pt idx="454">
                  <c:v>0</c:v>
                </c:pt>
                <c:pt idx="455">
                  <c:v>2</c:v>
                </c:pt>
                <c:pt idx="456">
                  <c:v>1</c:v>
                </c:pt>
                <c:pt idx="457">
                  <c:v>0</c:v>
                </c:pt>
                <c:pt idx="458">
                  <c:v>0</c:v>
                </c:pt>
                <c:pt idx="459">
                  <c:v>2</c:v>
                </c:pt>
                <c:pt idx="460">
                  <c:v>0</c:v>
                </c:pt>
                <c:pt idx="461">
                  <c:v>0</c:v>
                </c:pt>
                <c:pt idx="462">
                  <c:v>0</c:v>
                </c:pt>
                <c:pt idx="463">
                  <c:v>0</c:v>
                </c:pt>
                <c:pt idx="464">
                  <c:v>0</c:v>
                </c:pt>
                <c:pt idx="465">
                  <c:v>0</c:v>
                </c:pt>
                <c:pt idx="466">
                  <c:v>0</c:v>
                </c:pt>
                <c:pt idx="467">
                  <c:v>1</c:v>
                </c:pt>
                <c:pt idx="468">
                  <c:v>0</c:v>
                </c:pt>
                <c:pt idx="469">
                  <c:v>0</c:v>
                </c:pt>
                <c:pt idx="470">
                  <c:v>0</c:v>
                </c:pt>
                <c:pt idx="471">
                  <c:v>0</c:v>
                </c:pt>
                <c:pt idx="472">
                  <c:v>2</c:v>
                </c:pt>
                <c:pt idx="473">
                  <c:v>0</c:v>
                </c:pt>
                <c:pt idx="474">
                  <c:v>1</c:v>
                </c:pt>
                <c:pt idx="475">
                  <c:v>0</c:v>
                </c:pt>
                <c:pt idx="476">
                  <c:v>1</c:v>
                </c:pt>
                <c:pt idx="477">
                  <c:v>0</c:v>
                </c:pt>
                <c:pt idx="478">
                  <c:v>0</c:v>
                </c:pt>
                <c:pt idx="479">
                  <c:v>0</c:v>
                </c:pt>
                <c:pt idx="480">
                  <c:v>1</c:v>
                </c:pt>
                <c:pt idx="481">
                  <c:v>0</c:v>
                </c:pt>
                <c:pt idx="482">
                  <c:v>0</c:v>
                </c:pt>
                <c:pt idx="483">
                  <c:v>0</c:v>
                </c:pt>
                <c:pt idx="484">
                  <c:v>1</c:v>
                </c:pt>
                <c:pt idx="485">
                  <c:v>1</c:v>
                </c:pt>
                <c:pt idx="486">
                  <c:v>1</c:v>
                </c:pt>
                <c:pt idx="487">
                  <c:v>0</c:v>
                </c:pt>
                <c:pt idx="488">
                  <c:v>1</c:v>
                </c:pt>
                <c:pt idx="489">
                  <c:v>1</c:v>
                </c:pt>
                <c:pt idx="490">
                  <c:v>0</c:v>
                </c:pt>
                <c:pt idx="491">
                  <c:v>0</c:v>
                </c:pt>
                <c:pt idx="492">
                  <c:v>0</c:v>
                </c:pt>
                <c:pt idx="493">
                  <c:v>1</c:v>
                </c:pt>
                <c:pt idx="494">
                  <c:v>2</c:v>
                </c:pt>
                <c:pt idx="495">
                  <c:v>0</c:v>
                </c:pt>
                <c:pt idx="496">
                  <c:v>0</c:v>
                </c:pt>
                <c:pt idx="497">
                  <c:v>1</c:v>
                </c:pt>
                <c:pt idx="498">
                  <c:v>1</c:v>
                </c:pt>
                <c:pt idx="499">
                  <c:v>1</c:v>
                </c:pt>
              </c:numCache>
            </c:numRef>
          </c:xVal>
          <c:yVal>
            <c:numRef>
              <c:f>Regression!$H$50:$H$549</c:f>
              <c:numCache>
                <c:formatCode>General</c:formatCode>
                <c:ptCount val="500"/>
                <c:pt idx="0">
                  <c:v>-0.44305561592102194</c:v>
                </c:pt>
                <c:pt idx="1">
                  <c:v>1.2924754841435728</c:v>
                </c:pt>
                <c:pt idx="2">
                  <c:v>-0.36506008956275426</c:v>
                </c:pt>
                <c:pt idx="3">
                  <c:v>-0.29051396202392077</c:v>
                </c:pt>
                <c:pt idx="4">
                  <c:v>-0.29200776143802631</c:v>
                </c:pt>
                <c:pt idx="5">
                  <c:v>-0.52805833935859958</c:v>
                </c:pt>
                <c:pt idx="6">
                  <c:v>-0.46596054027065037</c:v>
                </c:pt>
                <c:pt idx="7">
                  <c:v>-0.44255768278298646</c:v>
                </c:pt>
                <c:pt idx="8">
                  <c:v>-0.45002667985351774</c:v>
                </c:pt>
                <c:pt idx="9">
                  <c:v>-0.45052461299155233</c:v>
                </c:pt>
                <c:pt idx="10">
                  <c:v>-0.43608455198852702</c:v>
                </c:pt>
                <c:pt idx="11">
                  <c:v>1.3864410040657873</c:v>
                </c:pt>
                <c:pt idx="12">
                  <c:v>-0.52407487425431576</c:v>
                </c:pt>
                <c:pt idx="13">
                  <c:v>0.87596981973817289</c:v>
                </c:pt>
                <c:pt idx="14">
                  <c:v>0.62498124767653795</c:v>
                </c:pt>
                <c:pt idx="15">
                  <c:v>-0.37900221742774587</c:v>
                </c:pt>
                <c:pt idx="16">
                  <c:v>-0.62750112379920253</c:v>
                </c:pt>
                <c:pt idx="17">
                  <c:v>2.2884920190392899</c:v>
                </c:pt>
                <c:pt idx="18">
                  <c:v>1.2914796178675019</c:v>
                </c:pt>
                <c:pt idx="19">
                  <c:v>-0.38099394997988778</c:v>
                </c:pt>
                <c:pt idx="20">
                  <c:v>-0.54548599918983776</c:v>
                </c:pt>
                <c:pt idx="21">
                  <c:v>-0.52656453994449315</c:v>
                </c:pt>
                <c:pt idx="22">
                  <c:v>0.7199787670216371</c:v>
                </c:pt>
                <c:pt idx="23">
                  <c:v>1.3814616726854343</c:v>
                </c:pt>
                <c:pt idx="24">
                  <c:v>-0.36555802270078974</c:v>
                </c:pt>
                <c:pt idx="25">
                  <c:v>-0.44205974964495098</c:v>
                </c:pt>
                <c:pt idx="26">
                  <c:v>1.7154973687793187</c:v>
                </c:pt>
                <c:pt idx="27">
                  <c:v>2.2964589492478567</c:v>
                </c:pt>
                <c:pt idx="28">
                  <c:v>1.3919182685841776</c:v>
                </c:pt>
                <c:pt idx="29">
                  <c:v>-0.53801700211930736</c:v>
                </c:pt>
                <c:pt idx="30">
                  <c:v>1.3054217457324935</c:v>
                </c:pt>
                <c:pt idx="31">
                  <c:v>-0.64194118480222961</c:v>
                </c:pt>
                <c:pt idx="32">
                  <c:v>-0.44355354905905742</c:v>
                </c:pt>
                <c:pt idx="33">
                  <c:v>-0.43309695316031416</c:v>
                </c:pt>
                <c:pt idx="34">
                  <c:v>0.38843273661792921</c:v>
                </c:pt>
                <c:pt idx="35">
                  <c:v>-0.29101189516195625</c:v>
                </c:pt>
                <c:pt idx="36">
                  <c:v>-0.42431413298896636</c:v>
                </c:pt>
                <c:pt idx="37">
                  <c:v>0.38096373954739882</c:v>
                </c:pt>
                <c:pt idx="38">
                  <c:v>-5.1475785275134633E-2</c:v>
                </c:pt>
                <c:pt idx="39">
                  <c:v>0.72047670015967258</c:v>
                </c:pt>
                <c:pt idx="40">
                  <c:v>0.85555456107872185</c:v>
                </c:pt>
                <c:pt idx="41">
                  <c:v>0.62896471278082</c:v>
                </c:pt>
                <c:pt idx="42">
                  <c:v>-0.36705182211489618</c:v>
                </c:pt>
                <c:pt idx="43">
                  <c:v>-0.2755759678828591</c:v>
                </c:pt>
                <c:pt idx="44">
                  <c:v>1.3934120679982831</c:v>
                </c:pt>
                <c:pt idx="45">
                  <c:v>-0.38796501391238269</c:v>
                </c:pt>
                <c:pt idx="46">
                  <c:v>-0.439072150816739</c:v>
                </c:pt>
                <c:pt idx="47">
                  <c:v>0.70055937463825702</c:v>
                </c:pt>
                <c:pt idx="48">
                  <c:v>-0.43807628454066805</c:v>
                </c:pt>
                <c:pt idx="49">
                  <c:v>1.2949651498337502</c:v>
                </c:pt>
                <c:pt idx="50">
                  <c:v>0.71201183681307079</c:v>
                </c:pt>
                <c:pt idx="51">
                  <c:v>-5.1475785275134633E-2</c:v>
                </c:pt>
                <c:pt idx="52">
                  <c:v>-0.3829856825320288</c:v>
                </c:pt>
                <c:pt idx="53">
                  <c:v>-0.36506008956275426</c:v>
                </c:pt>
                <c:pt idx="54">
                  <c:v>1.3904244691700711</c:v>
                </c:pt>
                <c:pt idx="55">
                  <c:v>0.72744776409216794</c:v>
                </c:pt>
                <c:pt idx="56">
                  <c:v>-0.38447948194613524</c:v>
                </c:pt>
                <c:pt idx="57">
                  <c:v>0.86700702325353607</c:v>
                </c:pt>
                <c:pt idx="58">
                  <c:v>0.623985381400467</c:v>
                </c:pt>
                <c:pt idx="59">
                  <c:v>0.73890022626698215</c:v>
                </c:pt>
                <c:pt idx="60">
                  <c:v>-0.37153322035721548</c:v>
                </c:pt>
                <c:pt idx="61">
                  <c:v>-0.51909554287396276</c:v>
                </c:pt>
                <c:pt idx="62">
                  <c:v>-0.47641713616939363</c:v>
                </c:pt>
                <c:pt idx="63">
                  <c:v>-0.37900221742774587</c:v>
                </c:pt>
                <c:pt idx="64">
                  <c:v>-0.54100460094752023</c:v>
                </c:pt>
                <c:pt idx="65">
                  <c:v>-0.45600187750994259</c:v>
                </c:pt>
                <c:pt idx="66">
                  <c:v>-0.376014618599533</c:v>
                </c:pt>
                <c:pt idx="67">
                  <c:v>0.37449060875293849</c:v>
                </c:pt>
                <c:pt idx="68">
                  <c:v>-0.51909554287396276</c:v>
                </c:pt>
                <c:pt idx="69">
                  <c:v>-0.53552733642912997</c:v>
                </c:pt>
                <c:pt idx="70">
                  <c:v>-0.21347816879490988</c:v>
                </c:pt>
                <c:pt idx="71">
                  <c:v>0.38146167268543429</c:v>
                </c:pt>
                <c:pt idx="72">
                  <c:v>-0.5275604062205641</c:v>
                </c:pt>
                <c:pt idx="73">
                  <c:v>0.38793480347989373</c:v>
                </c:pt>
                <c:pt idx="74">
                  <c:v>-0.52855627249663506</c:v>
                </c:pt>
                <c:pt idx="75">
                  <c:v>-0.28852222947177975</c:v>
                </c:pt>
                <c:pt idx="76">
                  <c:v>-0.3804960168418523</c:v>
                </c:pt>
                <c:pt idx="77">
                  <c:v>-0.30246435733676957</c:v>
                </c:pt>
                <c:pt idx="78">
                  <c:v>0.37000921051062008</c:v>
                </c:pt>
                <c:pt idx="79">
                  <c:v>-0.44504734847316385</c:v>
                </c:pt>
                <c:pt idx="80">
                  <c:v>0.36254021344008969</c:v>
                </c:pt>
                <c:pt idx="81">
                  <c:v>1.7204767001596726</c:v>
                </c:pt>
                <c:pt idx="82">
                  <c:v>-0.37252908663328554</c:v>
                </c:pt>
                <c:pt idx="83">
                  <c:v>-0.37203115349525095</c:v>
                </c:pt>
                <c:pt idx="84">
                  <c:v>-0.20401743917223758</c:v>
                </c:pt>
                <c:pt idx="85">
                  <c:v>-0.21646576762312186</c:v>
                </c:pt>
                <c:pt idx="86">
                  <c:v>-0.37302701977132102</c:v>
                </c:pt>
                <c:pt idx="87">
                  <c:v>-0.27607390102089457</c:v>
                </c:pt>
                <c:pt idx="88">
                  <c:v>-0.53602526956716545</c:v>
                </c:pt>
                <c:pt idx="89">
                  <c:v>-0.38497741508416983</c:v>
                </c:pt>
                <c:pt idx="90">
                  <c:v>-0.3829856825320288</c:v>
                </c:pt>
                <c:pt idx="91">
                  <c:v>-0.45201841240565876</c:v>
                </c:pt>
                <c:pt idx="92">
                  <c:v>0.73242709547252183</c:v>
                </c:pt>
                <c:pt idx="93">
                  <c:v>-0.4629729414424375</c:v>
                </c:pt>
                <c:pt idx="94">
                  <c:v>-0.36705182211489618</c:v>
                </c:pt>
                <c:pt idx="95">
                  <c:v>-0.30346022361284053</c:v>
                </c:pt>
                <c:pt idx="96">
                  <c:v>1.3690133442345491</c:v>
                </c:pt>
                <c:pt idx="97">
                  <c:v>-0.53353560387698895</c:v>
                </c:pt>
                <c:pt idx="98">
                  <c:v>-0.54598393232787323</c:v>
                </c:pt>
                <c:pt idx="99">
                  <c:v>-0.62351765869492048</c:v>
                </c:pt>
                <c:pt idx="100">
                  <c:v>-0.63297838831759279</c:v>
                </c:pt>
                <c:pt idx="101">
                  <c:v>-0.63945151911205222</c:v>
                </c:pt>
                <c:pt idx="102">
                  <c:v>-0.60360033317350492</c:v>
                </c:pt>
                <c:pt idx="103">
                  <c:v>-0.62600732438509699</c:v>
                </c:pt>
                <c:pt idx="104">
                  <c:v>0.38345340523757532</c:v>
                </c:pt>
                <c:pt idx="105">
                  <c:v>0.3864410040657873</c:v>
                </c:pt>
                <c:pt idx="106">
                  <c:v>0.39191826858417755</c:v>
                </c:pt>
                <c:pt idx="107">
                  <c:v>0.37996787327132786</c:v>
                </c:pt>
                <c:pt idx="108">
                  <c:v>0.36751954482044269</c:v>
                </c:pt>
                <c:pt idx="109">
                  <c:v>-0.27607390102089457</c:v>
                </c:pt>
                <c:pt idx="110">
                  <c:v>-0.62600732438509699</c:v>
                </c:pt>
                <c:pt idx="111">
                  <c:v>-0.29150982829999084</c:v>
                </c:pt>
                <c:pt idx="112">
                  <c:v>-0.45152047926762329</c:v>
                </c:pt>
                <c:pt idx="113">
                  <c:v>0.71250976995110626</c:v>
                </c:pt>
                <c:pt idx="114">
                  <c:v>-0.20102984034402471</c:v>
                </c:pt>
                <c:pt idx="115">
                  <c:v>0.72744776409216794</c:v>
                </c:pt>
                <c:pt idx="116">
                  <c:v>-0.53652320270520093</c:v>
                </c:pt>
                <c:pt idx="117">
                  <c:v>-0.45450807809583615</c:v>
                </c:pt>
                <c:pt idx="118">
                  <c:v>0.61900605002011222</c:v>
                </c:pt>
                <c:pt idx="119">
                  <c:v>-0.39543401098291309</c:v>
                </c:pt>
                <c:pt idx="120">
                  <c:v>-0.3735249529093565</c:v>
                </c:pt>
                <c:pt idx="121">
                  <c:v>0.86501529070139416</c:v>
                </c:pt>
                <c:pt idx="122">
                  <c:v>0.72645189781609742</c:v>
                </c:pt>
                <c:pt idx="123">
                  <c:v>1.2944672166957147</c:v>
                </c:pt>
                <c:pt idx="124">
                  <c:v>-0.53552733642912997</c:v>
                </c:pt>
                <c:pt idx="125">
                  <c:v>-0.53702113584323641</c:v>
                </c:pt>
                <c:pt idx="126">
                  <c:v>-0.44654114788727028</c:v>
                </c:pt>
                <c:pt idx="127">
                  <c:v>0.39142033544614208</c:v>
                </c:pt>
                <c:pt idx="128">
                  <c:v>-0.53602526956716545</c:v>
                </c:pt>
                <c:pt idx="129">
                  <c:v>0.73441882802466329</c:v>
                </c:pt>
                <c:pt idx="130">
                  <c:v>0.62896471278082</c:v>
                </c:pt>
                <c:pt idx="131">
                  <c:v>-0.28603256378160236</c:v>
                </c:pt>
                <c:pt idx="132">
                  <c:v>-0.36904355466703809</c:v>
                </c:pt>
                <c:pt idx="133">
                  <c:v>-0.60459619944957588</c:v>
                </c:pt>
                <c:pt idx="134">
                  <c:v>1.7174891013314602</c:v>
                </c:pt>
                <c:pt idx="135">
                  <c:v>0.72595396467806195</c:v>
                </c:pt>
                <c:pt idx="136">
                  <c:v>0.72545603154002647</c:v>
                </c:pt>
                <c:pt idx="137">
                  <c:v>-0.43757835140263346</c:v>
                </c:pt>
                <c:pt idx="138">
                  <c:v>-0.44753701416334124</c:v>
                </c:pt>
                <c:pt idx="139">
                  <c:v>-0.37003942094310904</c:v>
                </c:pt>
                <c:pt idx="140">
                  <c:v>-0.38597328136024078</c:v>
                </c:pt>
                <c:pt idx="141">
                  <c:v>0.61203498608761731</c:v>
                </c:pt>
                <c:pt idx="142">
                  <c:v>-0.60459619944957588</c:v>
                </c:pt>
                <c:pt idx="143">
                  <c:v>-0.45201841240565876</c:v>
                </c:pt>
                <c:pt idx="144">
                  <c:v>0.70055937463825702</c:v>
                </c:pt>
                <c:pt idx="145">
                  <c:v>0.62049984943421865</c:v>
                </c:pt>
                <c:pt idx="146">
                  <c:v>-0.28902016260981434</c:v>
                </c:pt>
                <c:pt idx="147">
                  <c:v>0.72545603154002647</c:v>
                </c:pt>
                <c:pt idx="148">
                  <c:v>-0.5514611968462626</c:v>
                </c:pt>
                <c:pt idx="149">
                  <c:v>0.70802837170878785</c:v>
                </c:pt>
                <c:pt idx="150">
                  <c:v>-0.439072150816739</c:v>
                </c:pt>
                <c:pt idx="151">
                  <c:v>-0.45898947633815457</c:v>
                </c:pt>
                <c:pt idx="152">
                  <c:v>-0.44903081357744679</c:v>
                </c:pt>
                <c:pt idx="153">
                  <c:v>-0.14892683716359745</c:v>
                </c:pt>
                <c:pt idx="154">
                  <c:v>-0.46147914202833107</c:v>
                </c:pt>
                <c:pt idx="155">
                  <c:v>-0.52158520856413926</c:v>
                </c:pt>
                <c:pt idx="156">
                  <c:v>-0.15042063657770299</c:v>
                </c:pt>
                <c:pt idx="157">
                  <c:v>-0.53851493525734284</c:v>
                </c:pt>
                <c:pt idx="158">
                  <c:v>-0.43459075257442059</c:v>
                </c:pt>
                <c:pt idx="159">
                  <c:v>-0.45898947633815457</c:v>
                </c:pt>
                <c:pt idx="160">
                  <c:v>-0.54548599918983776</c:v>
                </c:pt>
                <c:pt idx="161">
                  <c:v>-0.44056595023084455</c:v>
                </c:pt>
                <c:pt idx="162">
                  <c:v>-0.52208314170217474</c:v>
                </c:pt>
                <c:pt idx="163">
                  <c:v>1.3814616726854343</c:v>
                </c:pt>
                <c:pt idx="164">
                  <c:v>-0.54946946429412158</c:v>
                </c:pt>
                <c:pt idx="165">
                  <c:v>-0.13000537791825195</c:v>
                </c:pt>
                <c:pt idx="166">
                  <c:v>-0.53751906898127189</c:v>
                </c:pt>
                <c:pt idx="167">
                  <c:v>-0.45948740947619005</c:v>
                </c:pt>
                <c:pt idx="168">
                  <c:v>-0.43757835140263346</c:v>
                </c:pt>
                <c:pt idx="169">
                  <c:v>-0.14095990695503069</c:v>
                </c:pt>
                <c:pt idx="170">
                  <c:v>-0.45401014495780068</c:v>
                </c:pt>
                <c:pt idx="171">
                  <c:v>0.37946994013329238</c:v>
                </c:pt>
                <c:pt idx="172">
                  <c:v>-0.13000537791825195</c:v>
                </c:pt>
                <c:pt idx="173">
                  <c:v>-0.28005736612517751</c:v>
                </c:pt>
                <c:pt idx="174">
                  <c:v>-0.28702843005767331</c:v>
                </c:pt>
                <c:pt idx="175">
                  <c:v>-0.13647850871271228</c:v>
                </c:pt>
                <c:pt idx="176">
                  <c:v>0.38195960582346977</c:v>
                </c:pt>
                <c:pt idx="177">
                  <c:v>0.71798703446949563</c:v>
                </c:pt>
                <c:pt idx="178">
                  <c:v>-0.27756770043500101</c:v>
                </c:pt>
                <c:pt idx="179">
                  <c:v>-0.44006801709280996</c:v>
                </c:pt>
                <c:pt idx="180">
                  <c:v>-0.52307900797824569</c:v>
                </c:pt>
                <c:pt idx="181">
                  <c:v>1.3585567483358059</c:v>
                </c:pt>
                <c:pt idx="182">
                  <c:v>0.61054118667351087</c:v>
                </c:pt>
                <c:pt idx="183">
                  <c:v>-0.53453147015305902</c:v>
                </c:pt>
                <c:pt idx="184">
                  <c:v>0.7294394966443094</c:v>
                </c:pt>
                <c:pt idx="185">
                  <c:v>-0.44205974964495098</c:v>
                </c:pt>
                <c:pt idx="186">
                  <c:v>-0.61555072848635373</c:v>
                </c:pt>
                <c:pt idx="187">
                  <c:v>-0.15490203482002141</c:v>
                </c:pt>
                <c:pt idx="188">
                  <c:v>-0.14394750578324267</c:v>
                </c:pt>
                <c:pt idx="189">
                  <c:v>-0.54648186546590871</c:v>
                </c:pt>
                <c:pt idx="190">
                  <c:v>-0.5420004672235903</c:v>
                </c:pt>
                <c:pt idx="191">
                  <c:v>-0.37701048487560396</c:v>
                </c:pt>
                <c:pt idx="192">
                  <c:v>0.72545603154002647</c:v>
                </c:pt>
                <c:pt idx="193">
                  <c:v>1.3784740738572214</c:v>
                </c:pt>
                <c:pt idx="194">
                  <c:v>-0.37452081918542746</c:v>
                </c:pt>
                <c:pt idx="195">
                  <c:v>-0.39991540922523239</c:v>
                </c:pt>
                <c:pt idx="196">
                  <c:v>0.71499943564128321</c:v>
                </c:pt>
                <c:pt idx="197">
                  <c:v>-0.13847024126485419</c:v>
                </c:pt>
                <c:pt idx="198">
                  <c:v>-0.45002667985351774</c:v>
                </c:pt>
                <c:pt idx="199">
                  <c:v>0.85206902911247351</c:v>
                </c:pt>
                <c:pt idx="200">
                  <c:v>0.74387955764733604</c:v>
                </c:pt>
                <c:pt idx="201">
                  <c:v>-0.532539737600918</c:v>
                </c:pt>
                <c:pt idx="202">
                  <c:v>-0.53552733642912997</c:v>
                </c:pt>
                <c:pt idx="203">
                  <c:v>-0.36506008956275426</c:v>
                </c:pt>
                <c:pt idx="204">
                  <c:v>0.60705565470726341</c:v>
                </c:pt>
                <c:pt idx="205">
                  <c:v>2.2989486149380332</c:v>
                </c:pt>
                <c:pt idx="206">
                  <c:v>-0.53303767073895347</c:v>
                </c:pt>
                <c:pt idx="207">
                  <c:v>-0.36904355466703809</c:v>
                </c:pt>
                <c:pt idx="208">
                  <c:v>0.73342296174859278</c:v>
                </c:pt>
                <c:pt idx="209">
                  <c:v>-0.55245706312233356</c:v>
                </c:pt>
                <c:pt idx="210">
                  <c:v>-0.56241572588304134</c:v>
                </c:pt>
                <c:pt idx="211">
                  <c:v>-0.28155116553928305</c:v>
                </c:pt>
                <c:pt idx="212">
                  <c:v>-0.46496467399457941</c:v>
                </c:pt>
                <c:pt idx="213">
                  <c:v>-0.44554528161119933</c:v>
                </c:pt>
                <c:pt idx="214">
                  <c:v>-0.5420004672235903</c:v>
                </c:pt>
                <c:pt idx="215">
                  <c:v>0.36154434716401873</c:v>
                </c:pt>
                <c:pt idx="216">
                  <c:v>-0.44156181650691551</c:v>
                </c:pt>
                <c:pt idx="217">
                  <c:v>-0.45948740947619005</c:v>
                </c:pt>
                <c:pt idx="218">
                  <c:v>0.62996057905689096</c:v>
                </c:pt>
                <c:pt idx="219">
                  <c:v>-0.54996739743215706</c:v>
                </c:pt>
                <c:pt idx="220">
                  <c:v>0.73043536292038036</c:v>
                </c:pt>
                <c:pt idx="221">
                  <c:v>3.4024871300478043E-2</c:v>
                </c:pt>
                <c:pt idx="222">
                  <c:v>-0.20102984034402471</c:v>
                </c:pt>
                <c:pt idx="223">
                  <c:v>1.371005076786691</c:v>
                </c:pt>
                <c:pt idx="224">
                  <c:v>-0.60857966455385792</c:v>
                </c:pt>
                <c:pt idx="225">
                  <c:v>-0.38398154880809976</c:v>
                </c:pt>
                <c:pt idx="226">
                  <c:v>1.3376435565383193</c:v>
                </c:pt>
                <c:pt idx="227">
                  <c:v>-0.45649981064797807</c:v>
                </c:pt>
                <c:pt idx="228">
                  <c:v>-0.37800635115167491</c:v>
                </c:pt>
                <c:pt idx="229">
                  <c:v>-0.38447948194613524</c:v>
                </c:pt>
                <c:pt idx="230">
                  <c:v>-0.61754246103849475</c:v>
                </c:pt>
                <c:pt idx="231">
                  <c:v>0.59958665763673213</c:v>
                </c:pt>
                <c:pt idx="232">
                  <c:v>-0.56888885667750166</c:v>
                </c:pt>
                <c:pt idx="233">
                  <c:v>1.375984408167044</c:v>
                </c:pt>
                <c:pt idx="234">
                  <c:v>0.87198635463388907</c:v>
                </c:pt>
                <c:pt idx="235">
                  <c:v>0.70553870601861091</c:v>
                </c:pt>
                <c:pt idx="236">
                  <c:v>-0.52457280739235124</c:v>
                </c:pt>
                <c:pt idx="237">
                  <c:v>-0.45201841240565876</c:v>
                </c:pt>
                <c:pt idx="238">
                  <c:v>-0.53204180446288252</c:v>
                </c:pt>
                <c:pt idx="239">
                  <c:v>0.60556185529315698</c:v>
                </c:pt>
                <c:pt idx="240">
                  <c:v>0.72097463329770806</c:v>
                </c:pt>
                <c:pt idx="241">
                  <c:v>1.3854451377897163</c:v>
                </c:pt>
                <c:pt idx="242">
                  <c:v>-0.52208314170217474</c:v>
                </c:pt>
                <c:pt idx="243">
                  <c:v>1.3456104867468852</c:v>
                </c:pt>
                <c:pt idx="244">
                  <c:v>-0.15589790109609236</c:v>
                </c:pt>
                <c:pt idx="245">
                  <c:v>-0.52009140915003371</c:v>
                </c:pt>
                <c:pt idx="246">
                  <c:v>0.72296636584984952</c:v>
                </c:pt>
                <c:pt idx="247">
                  <c:v>-0.53453147015305902</c:v>
                </c:pt>
                <c:pt idx="248">
                  <c:v>-0.38099394997988778</c:v>
                </c:pt>
                <c:pt idx="249">
                  <c:v>0.62448331453850248</c:v>
                </c:pt>
                <c:pt idx="250">
                  <c:v>0.63195231160903287</c:v>
                </c:pt>
                <c:pt idx="251">
                  <c:v>0.37200094306276199</c:v>
                </c:pt>
                <c:pt idx="252">
                  <c:v>-0.54598393232787323</c:v>
                </c:pt>
                <c:pt idx="253">
                  <c:v>-0.38348361567006428</c:v>
                </c:pt>
                <c:pt idx="254">
                  <c:v>-0.37850428428971039</c:v>
                </c:pt>
                <c:pt idx="255">
                  <c:v>0.70155524091432797</c:v>
                </c:pt>
                <c:pt idx="256">
                  <c:v>-0.54847359801805062</c:v>
                </c:pt>
                <c:pt idx="257">
                  <c:v>-0.61853832731456571</c:v>
                </c:pt>
                <c:pt idx="258">
                  <c:v>-0.61057139710599984</c:v>
                </c:pt>
                <c:pt idx="259">
                  <c:v>-0.38348361567006428</c:v>
                </c:pt>
                <c:pt idx="260">
                  <c:v>-0.21148643624276797</c:v>
                </c:pt>
                <c:pt idx="261">
                  <c:v>-0.2035195060342021</c:v>
                </c:pt>
                <c:pt idx="262">
                  <c:v>0.87646775287620837</c:v>
                </c:pt>
                <c:pt idx="263">
                  <c:v>0.73043536292038036</c:v>
                </c:pt>
                <c:pt idx="264">
                  <c:v>0.6334461110231393</c:v>
                </c:pt>
                <c:pt idx="265">
                  <c:v>0.87746361915227933</c:v>
                </c:pt>
                <c:pt idx="266">
                  <c:v>-0.53403353701502354</c:v>
                </c:pt>
                <c:pt idx="267">
                  <c:v>0.84609383145604955</c:v>
                </c:pt>
                <c:pt idx="268">
                  <c:v>2.2929734172816083</c:v>
                </c:pt>
                <c:pt idx="269">
                  <c:v>1.3799678732713279</c:v>
                </c:pt>
                <c:pt idx="270">
                  <c:v>-0.47392747047921624</c:v>
                </c:pt>
                <c:pt idx="271">
                  <c:v>-0.13946610754092514</c:v>
                </c:pt>
                <c:pt idx="272">
                  <c:v>-0.38099394997988778</c:v>
                </c:pt>
                <c:pt idx="273">
                  <c:v>-0.63148458890348635</c:v>
                </c:pt>
                <c:pt idx="274">
                  <c:v>-0.62799905693723801</c:v>
                </c:pt>
                <c:pt idx="275">
                  <c:v>1.3104010771128465</c:v>
                </c:pt>
                <c:pt idx="276">
                  <c:v>0.36801747795847817</c:v>
                </c:pt>
                <c:pt idx="277">
                  <c:v>1.3919182685841776</c:v>
                </c:pt>
                <c:pt idx="278">
                  <c:v>-0.37153322035721548</c:v>
                </c:pt>
                <c:pt idx="279">
                  <c:v>-0.56042399333090032</c:v>
                </c:pt>
                <c:pt idx="280">
                  <c:v>-0.43807628454066805</c:v>
                </c:pt>
                <c:pt idx="281">
                  <c:v>-0.6135589959342127</c:v>
                </c:pt>
                <c:pt idx="282">
                  <c:v>-0.39344227843077206</c:v>
                </c:pt>
                <c:pt idx="283">
                  <c:v>1.375984408167044</c:v>
                </c:pt>
                <c:pt idx="284">
                  <c:v>-0.29499536026623918</c:v>
                </c:pt>
                <c:pt idx="285">
                  <c:v>-0.30346022361284053</c:v>
                </c:pt>
                <c:pt idx="286">
                  <c:v>-0.54946946429412158</c:v>
                </c:pt>
                <c:pt idx="287">
                  <c:v>-0.37701048487560396</c:v>
                </c:pt>
                <c:pt idx="288">
                  <c:v>0.73043536292038036</c:v>
                </c:pt>
                <c:pt idx="289">
                  <c:v>-0.40389887432951532</c:v>
                </c:pt>
                <c:pt idx="290">
                  <c:v>-0.45898947633815457</c:v>
                </c:pt>
                <c:pt idx="291">
                  <c:v>-0.45550394437190711</c:v>
                </c:pt>
                <c:pt idx="292">
                  <c:v>-0.54747773174197967</c:v>
                </c:pt>
                <c:pt idx="293">
                  <c:v>-0.51411621149360798</c:v>
                </c:pt>
                <c:pt idx="294">
                  <c:v>-0.44604321474923481</c:v>
                </c:pt>
                <c:pt idx="295">
                  <c:v>0.623985381400467</c:v>
                </c:pt>
                <c:pt idx="296">
                  <c:v>-0.45550394437190711</c:v>
                </c:pt>
                <c:pt idx="297">
                  <c:v>-0.44405148219709289</c:v>
                </c:pt>
                <c:pt idx="298">
                  <c:v>-0.36854562152900261</c:v>
                </c:pt>
                <c:pt idx="299">
                  <c:v>-0.53453147015305902</c:v>
                </c:pt>
                <c:pt idx="300">
                  <c:v>-0.32835688051461087</c:v>
                </c:pt>
                <c:pt idx="301">
                  <c:v>-0.44106388336888003</c:v>
                </c:pt>
                <c:pt idx="302">
                  <c:v>-0.44156181650691551</c:v>
                </c:pt>
                <c:pt idx="303">
                  <c:v>-0.46347087458047298</c:v>
                </c:pt>
                <c:pt idx="304">
                  <c:v>-0.5180996765978918</c:v>
                </c:pt>
                <c:pt idx="305">
                  <c:v>0.37449060875293849</c:v>
                </c:pt>
                <c:pt idx="306">
                  <c:v>-0.52905420563467054</c:v>
                </c:pt>
                <c:pt idx="307">
                  <c:v>0.72246843271181405</c:v>
                </c:pt>
                <c:pt idx="308">
                  <c:v>-0.37053735408114452</c:v>
                </c:pt>
                <c:pt idx="309">
                  <c:v>0.85655042735479281</c:v>
                </c:pt>
                <c:pt idx="310">
                  <c:v>-0.44654114788727028</c:v>
                </c:pt>
                <c:pt idx="311">
                  <c:v>-0.15141650285377395</c:v>
                </c:pt>
                <c:pt idx="312">
                  <c:v>-0.45600187750994259</c:v>
                </c:pt>
                <c:pt idx="313">
                  <c:v>0.37648234130507952</c:v>
                </c:pt>
                <c:pt idx="314">
                  <c:v>-0.28802429633374427</c:v>
                </c:pt>
                <c:pt idx="315">
                  <c:v>-0.30047262478462855</c:v>
                </c:pt>
                <c:pt idx="316">
                  <c:v>-0.30097055792266403</c:v>
                </c:pt>
                <c:pt idx="317">
                  <c:v>-0.39294434529273659</c:v>
                </c:pt>
                <c:pt idx="318">
                  <c:v>4.2489734647079391E-2</c:v>
                </c:pt>
                <c:pt idx="319">
                  <c:v>-0.5514611968462626</c:v>
                </c:pt>
                <c:pt idx="320">
                  <c:v>-0.44355354905905742</c:v>
                </c:pt>
                <c:pt idx="321">
                  <c:v>-0.53751906898127189</c:v>
                </c:pt>
                <c:pt idx="322">
                  <c:v>-0.36954148780507357</c:v>
                </c:pt>
                <c:pt idx="323">
                  <c:v>0.72645189781609742</c:v>
                </c:pt>
                <c:pt idx="324">
                  <c:v>-0.28702843005767331</c:v>
                </c:pt>
                <c:pt idx="325">
                  <c:v>-0.29499536026623918</c:v>
                </c:pt>
                <c:pt idx="326">
                  <c:v>-0.45450807809583615</c:v>
                </c:pt>
                <c:pt idx="327">
                  <c:v>-0.45550394437190711</c:v>
                </c:pt>
                <c:pt idx="328">
                  <c:v>-0.54946946429412158</c:v>
                </c:pt>
                <c:pt idx="329">
                  <c:v>-0.53801700211930736</c:v>
                </c:pt>
                <c:pt idx="330">
                  <c:v>-0.61106933024403531</c:v>
                </c:pt>
                <c:pt idx="331">
                  <c:v>-0.45401014495780068</c:v>
                </c:pt>
                <c:pt idx="332">
                  <c:v>-0.439072150816739</c:v>
                </c:pt>
                <c:pt idx="333">
                  <c:v>-0.43608455198852702</c:v>
                </c:pt>
                <c:pt idx="334">
                  <c:v>1.3954038005504241</c:v>
                </c:pt>
                <c:pt idx="335">
                  <c:v>-0.39394021156880754</c:v>
                </c:pt>
                <c:pt idx="336">
                  <c:v>0.38743687034185825</c:v>
                </c:pt>
                <c:pt idx="337">
                  <c:v>-0.13797230812681871</c:v>
                </c:pt>
                <c:pt idx="338">
                  <c:v>-0.53751906898127189</c:v>
                </c:pt>
                <c:pt idx="339">
                  <c:v>1.3814616726854343</c:v>
                </c:pt>
                <c:pt idx="340">
                  <c:v>-0.54249840036162578</c:v>
                </c:pt>
                <c:pt idx="341">
                  <c:v>0.723464298987885</c:v>
                </c:pt>
                <c:pt idx="342">
                  <c:v>0.62796884650474905</c:v>
                </c:pt>
                <c:pt idx="343">
                  <c:v>-0.6090775976918934</c:v>
                </c:pt>
                <c:pt idx="344">
                  <c:v>-0.37003942094310904</c:v>
                </c:pt>
                <c:pt idx="345">
                  <c:v>1.3540753500934875</c:v>
                </c:pt>
                <c:pt idx="346">
                  <c:v>0.87945535170442035</c:v>
                </c:pt>
                <c:pt idx="347">
                  <c:v>-0.60957553082992888</c:v>
                </c:pt>
                <c:pt idx="348">
                  <c:v>0.72744776409216794</c:v>
                </c:pt>
                <c:pt idx="349">
                  <c:v>-0.53154387132484704</c:v>
                </c:pt>
                <c:pt idx="350">
                  <c:v>-0.30794162185515983</c:v>
                </c:pt>
                <c:pt idx="351">
                  <c:v>1.7229663658498495</c:v>
                </c:pt>
                <c:pt idx="352">
                  <c:v>1.7130077030891417</c:v>
                </c:pt>
                <c:pt idx="353">
                  <c:v>0.72744776409216794</c:v>
                </c:pt>
                <c:pt idx="354">
                  <c:v>-0.52706247308252863</c:v>
                </c:pt>
                <c:pt idx="355">
                  <c:v>-0.532539737600918</c:v>
                </c:pt>
                <c:pt idx="356">
                  <c:v>1.3650298791302662</c:v>
                </c:pt>
                <c:pt idx="357">
                  <c:v>0.6195039831581477</c:v>
                </c:pt>
                <c:pt idx="358">
                  <c:v>-0.44654114788727028</c:v>
                </c:pt>
                <c:pt idx="359">
                  <c:v>-0.45201841240565876</c:v>
                </c:pt>
                <c:pt idx="360">
                  <c:v>0.73242709547252183</c:v>
                </c:pt>
                <c:pt idx="361">
                  <c:v>-0.45948740947619005</c:v>
                </c:pt>
                <c:pt idx="362">
                  <c:v>-0.38099394997988778</c:v>
                </c:pt>
                <c:pt idx="363">
                  <c:v>-0.43708041826459798</c:v>
                </c:pt>
                <c:pt idx="364">
                  <c:v>-0.63397425459366374</c:v>
                </c:pt>
                <c:pt idx="365">
                  <c:v>-0.44654114788727028</c:v>
                </c:pt>
                <c:pt idx="366">
                  <c:v>0.86501529070139416</c:v>
                </c:pt>
                <c:pt idx="367">
                  <c:v>-0.44355354905905742</c:v>
                </c:pt>
                <c:pt idx="368">
                  <c:v>1.3754864750290086</c:v>
                </c:pt>
                <c:pt idx="369">
                  <c:v>-0.37999808370381682</c:v>
                </c:pt>
                <c:pt idx="370">
                  <c:v>0.86152975873514581</c:v>
                </c:pt>
                <c:pt idx="371">
                  <c:v>0.86949668894371257</c:v>
                </c:pt>
                <c:pt idx="372">
                  <c:v>-0.62003212672867214</c:v>
                </c:pt>
                <c:pt idx="373">
                  <c:v>-0.15490203482002141</c:v>
                </c:pt>
                <c:pt idx="374">
                  <c:v>-0.21098850310473249</c:v>
                </c:pt>
                <c:pt idx="375">
                  <c:v>-4.3508855066568763E-2</c:v>
                </c:pt>
                <c:pt idx="376">
                  <c:v>0.72246843271181405</c:v>
                </c:pt>
                <c:pt idx="377">
                  <c:v>-0.36705182211489618</c:v>
                </c:pt>
                <c:pt idx="378">
                  <c:v>0.71201183681307079</c:v>
                </c:pt>
                <c:pt idx="379">
                  <c:v>0.38444927151364627</c:v>
                </c:pt>
                <c:pt idx="380">
                  <c:v>0.61352878550172374</c:v>
                </c:pt>
                <c:pt idx="381">
                  <c:v>-0.38846294705041817</c:v>
                </c:pt>
                <c:pt idx="382">
                  <c:v>0.72993742978234488</c:v>
                </c:pt>
                <c:pt idx="383">
                  <c:v>-0.43957008395477448</c:v>
                </c:pt>
                <c:pt idx="384">
                  <c:v>0.38444927151364627</c:v>
                </c:pt>
                <c:pt idx="385">
                  <c:v>-4.8986119584957244E-2</c:v>
                </c:pt>
                <c:pt idx="386">
                  <c:v>-0.62351765869492048</c:v>
                </c:pt>
                <c:pt idx="387">
                  <c:v>-0.38198981625595874</c:v>
                </c:pt>
                <c:pt idx="388">
                  <c:v>-0.12900951164218188</c:v>
                </c:pt>
                <c:pt idx="389">
                  <c:v>-0.30346022361284053</c:v>
                </c:pt>
                <c:pt idx="390">
                  <c:v>-0.12651984595200449</c:v>
                </c:pt>
                <c:pt idx="391">
                  <c:v>-0.44156181650691551</c:v>
                </c:pt>
                <c:pt idx="392">
                  <c:v>-0.44803494730137583</c:v>
                </c:pt>
                <c:pt idx="393">
                  <c:v>-0.12452811339986258</c:v>
                </c:pt>
                <c:pt idx="394">
                  <c:v>1.3884327366179292</c:v>
                </c:pt>
                <c:pt idx="395">
                  <c:v>-0.29399949399016823</c:v>
                </c:pt>
                <c:pt idx="396">
                  <c:v>-0.44106388336888003</c:v>
                </c:pt>
                <c:pt idx="397">
                  <c:v>-0.37153322035721548</c:v>
                </c:pt>
                <c:pt idx="398">
                  <c:v>-0.187087712479034</c:v>
                </c:pt>
                <c:pt idx="399">
                  <c:v>-3.6039857996038371E-2</c:v>
                </c:pt>
                <c:pt idx="400">
                  <c:v>0.73143122919645132</c:v>
                </c:pt>
                <c:pt idx="401">
                  <c:v>-0.38099394997988778</c:v>
                </c:pt>
                <c:pt idx="402">
                  <c:v>-0.53353560387698895</c:v>
                </c:pt>
                <c:pt idx="403">
                  <c:v>-0.13149917733235839</c:v>
                </c:pt>
                <c:pt idx="404">
                  <c:v>0.36154434716401873</c:v>
                </c:pt>
                <c:pt idx="405">
                  <c:v>-0.30097055792266403</c:v>
                </c:pt>
                <c:pt idx="406">
                  <c:v>-0.28902016260981434</c:v>
                </c:pt>
                <c:pt idx="407">
                  <c:v>-0.29599122654231014</c:v>
                </c:pt>
                <c:pt idx="408">
                  <c:v>-0.28105323240124847</c:v>
                </c:pt>
                <c:pt idx="409">
                  <c:v>-0.62301972555688501</c:v>
                </c:pt>
                <c:pt idx="410">
                  <c:v>-0.55295499626036904</c:v>
                </c:pt>
                <c:pt idx="411">
                  <c:v>-0.45600187750994259</c:v>
                </c:pt>
                <c:pt idx="412">
                  <c:v>-0.52656453994449315</c:v>
                </c:pt>
                <c:pt idx="413">
                  <c:v>-0.53204180446288252</c:v>
                </c:pt>
                <c:pt idx="414">
                  <c:v>-0.44355354905905742</c:v>
                </c:pt>
                <c:pt idx="415">
                  <c:v>-0.38696914763631174</c:v>
                </c:pt>
                <c:pt idx="416">
                  <c:v>-0.3665538889768607</c:v>
                </c:pt>
                <c:pt idx="417">
                  <c:v>-0.45948740947619005</c:v>
                </c:pt>
                <c:pt idx="418">
                  <c:v>-0.44654114788727028</c:v>
                </c:pt>
                <c:pt idx="419">
                  <c:v>-0.5444901329137668</c:v>
                </c:pt>
                <c:pt idx="420">
                  <c:v>-0.38746708077434722</c:v>
                </c:pt>
                <c:pt idx="421">
                  <c:v>0.86700702325353607</c:v>
                </c:pt>
                <c:pt idx="422">
                  <c:v>-0.53652320270520093</c:v>
                </c:pt>
                <c:pt idx="423">
                  <c:v>-0.38597328136024078</c:v>
                </c:pt>
                <c:pt idx="424">
                  <c:v>-0.44355354905905742</c:v>
                </c:pt>
                <c:pt idx="425">
                  <c:v>0.602574256464945</c:v>
                </c:pt>
                <c:pt idx="426">
                  <c:v>-0.45201841240565876</c:v>
                </c:pt>
                <c:pt idx="427">
                  <c:v>0.86152975873514581</c:v>
                </c:pt>
                <c:pt idx="428">
                  <c:v>0.86800288952960614</c:v>
                </c:pt>
                <c:pt idx="429">
                  <c:v>-0.52357694111628117</c:v>
                </c:pt>
                <c:pt idx="430">
                  <c:v>1.3859430709277518</c:v>
                </c:pt>
                <c:pt idx="431">
                  <c:v>-0.52556867366842219</c:v>
                </c:pt>
                <c:pt idx="432">
                  <c:v>0.63693164298938676</c:v>
                </c:pt>
                <c:pt idx="433">
                  <c:v>-0.4068864731577273</c:v>
                </c:pt>
                <c:pt idx="434">
                  <c:v>-0.40887820570986921</c:v>
                </c:pt>
                <c:pt idx="435">
                  <c:v>-0.54648186546590871</c:v>
                </c:pt>
                <c:pt idx="436">
                  <c:v>-0.52706247308252863</c:v>
                </c:pt>
                <c:pt idx="437">
                  <c:v>-0.53353560387698895</c:v>
                </c:pt>
                <c:pt idx="438">
                  <c:v>-0.43160315374620772</c:v>
                </c:pt>
                <c:pt idx="439">
                  <c:v>-0.53054800504877697</c:v>
                </c:pt>
                <c:pt idx="440">
                  <c:v>-0.64194118480222961</c:v>
                </c:pt>
                <c:pt idx="441">
                  <c:v>-0.13847024126485419</c:v>
                </c:pt>
                <c:pt idx="442">
                  <c:v>-0.29001602888588529</c:v>
                </c:pt>
                <c:pt idx="443">
                  <c:v>-0.44803494730137583</c:v>
                </c:pt>
                <c:pt idx="444">
                  <c:v>1.3874368703418583</c:v>
                </c:pt>
                <c:pt idx="445">
                  <c:v>-0.30943542126926538</c:v>
                </c:pt>
                <c:pt idx="446">
                  <c:v>-0.44753701416334124</c:v>
                </c:pt>
                <c:pt idx="447">
                  <c:v>-0.28005736612517751</c:v>
                </c:pt>
                <c:pt idx="448">
                  <c:v>1.3700092105106201</c:v>
                </c:pt>
                <c:pt idx="449">
                  <c:v>-0.5180996765978918</c:v>
                </c:pt>
                <c:pt idx="450">
                  <c:v>-0.39045467960256008</c:v>
                </c:pt>
                <c:pt idx="451">
                  <c:v>-0.55893019391679388</c:v>
                </c:pt>
                <c:pt idx="452">
                  <c:v>0.72993742978234488</c:v>
                </c:pt>
                <c:pt idx="453">
                  <c:v>-0.36107662445847222</c:v>
                </c:pt>
                <c:pt idx="454">
                  <c:v>-0.45500601123387163</c:v>
                </c:pt>
                <c:pt idx="455">
                  <c:v>-0.12353224712379163</c:v>
                </c:pt>
                <c:pt idx="456">
                  <c:v>-0.38647121449827626</c:v>
                </c:pt>
                <c:pt idx="457">
                  <c:v>-0.45948740947619005</c:v>
                </c:pt>
                <c:pt idx="458">
                  <c:v>0.36204228030205421</c:v>
                </c:pt>
                <c:pt idx="459">
                  <c:v>-0.14743303774949101</c:v>
                </c:pt>
                <c:pt idx="460">
                  <c:v>2.2800271556926877</c:v>
                </c:pt>
                <c:pt idx="461">
                  <c:v>-0.5275604062205641</c:v>
                </c:pt>
                <c:pt idx="462">
                  <c:v>-0.53054800504877697</c:v>
                </c:pt>
                <c:pt idx="463">
                  <c:v>-0.53104593818681245</c:v>
                </c:pt>
                <c:pt idx="464">
                  <c:v>0.70653457229468186</c:v>
                </c:pt>
                <c:pt idx="465">
                  <c:v>-0.53751906898127189</c:v>
                </c:pt>
                <c:pt idx="466">
                  <c:v>-0.54050666780948475</c:v>
                </c:pt>
                <c:pt idx="467">
                  <c:v>-0.39543401098291309</c:v>
                </c:pt>
                <c:pt idx="468">
                  <c:v>-0.5275604062205641</c:v>
                </c:pt>
                <c:pt idx="469">
                  <c:v>0.36652367854437173</c:v>
                </c:pt>
                <c:pt idx="470">
                  <c:v>-0.53453147015305902</c:v>
                </c:pt>
                <c:pt idx="471">
                  <c:v>-0.52855627249663506</c:v>
                </c:pt>
                <c:pt idx="472">
                  <c:v>-0.13697644185074775</c:v>
                </c:pt>
                <c:pt idx="473">
                  <c:v>1.3675195448204427</c:v>
                </c:pt>
                <c:pt idx="474">
                  <c:v>-0.376014618599533</c:v>
                </c:pt>
                <c:pt idx="475">
                  <c:v>-0.52108727542610467</c:v>
                </c:pt>
                <c:pt idx="476">
                  <c:v>0.62298951512439604</c:v>
                </c:pt>
                <c:pt idx="477">
                  <c:v>-0.44604321474923481</c:v>
                </c:pt>
                <c:pt idx="478">
                  <c:v>1.3844492715136463</c:v>
                </c:pt>
                <c:pt idx="479">
                  <c:v>1.2899858184533954</c:v>
                </c:pt>
                <c:pt idx="480">
                  <c:v>-0.28453876436749592</c:v>
                </c:pt>
                <c:pt idx="481">
                  <c:v>-0.45251634554369424</c:v>
                </c:pt>
                <c:pt idx="482">
                  <c:v>1.2924754841435728</c:v>
                </c:pt>
                <c:pt idx="483">
                  <c:v>1.3819596058234698</c:v>
                </c:pt>
                <c:pt idx="484">
                  <c:v>-0.36854562152900261</c:v>
                </c:pt>
                <c:pt idx="485">
                  <c:v>0.63045851219492643</c:v>
                </c:pt>
                <c:pt idx="486">
                  <c:v>0.61004325353547539</c:v>
                </c:pt>
                <c:pt idx="487">
                  <c:v>0.7070325054327169</c:v>
                </c:pt>
                <c:pt idx="488">
                  <c:v>0.60506392215512239</c:v>
                </c:pt>
                <c:pt idx="489">
                  <c:v>-0.29051396202392077</c:v>
                </c:pt>
                <c:pt idx="490">
                  <c:v>-0.52258107484021021</c:v>
                </c:pt>
                <c:pt idx="491">
                  <c:v>0.72396223212592048</c:v>
                </c:pt>
                <c:pt idx="492">
                  <c:v>-0.44255768278298646</c:v>
                </c:pt>
                <c:pt idx="493">
                  <c:v>-0.28404083122946044</c:v>
                </c:pt>
                <c:pt idx="494">
                  <c:v>-0.14145784009306617</c:v>
                </c:pt>
                <c:pt idx="495">
                  <c:v>-0.44803494730137583</c:v>
                </c:pt>
                <c:pt idx="496">
                  <c:v>-0.49135513031045441</c:v>
                </c:pt>
                <c:pt idx="497">
                  <c:v>-0.30346022361284053</c:v>
                </c:pt>
                <c:pt idx="498">
                  <c:v>-0.36954148780507357</c:v>
                </c:pt>
                <c:pt idx="499">
                  <c:v>0.60854945412136896</c:v>
                </c:pt>
              </c:numCache>
            </c:numRef>
          </c:yVal>
          <c:smooth val="0"/>
          <c:extLst>
            <c:ext xmlns:c16="http://schemas.microsoft.com/office/drawing/2014/chart" uri="{C3380CC4-5D6E-409C-BE32-E72D297353CC}">
              <c16:uniqueId val="{00000001-4F84-499E-B227-0D178AB2115D}"/>
            </c:ext>
          </c:extLst>
        </c:ser>
        <c:dLbls>
          <c:showLegendKey val="0"/>
          <c:showVal val="0"/>
          <c:showCatName val="0"/>
          <c:showSerName val="0"/>
          <c:showPercent val="0"/>
          <c:showBubbleSize val="0"/>
        </c:dLbls>
        <c:axId val="618055296"/>
        <c:axId val="618052896"/>
      </c:scatterChart>
      <c:valAx>
        <c:axId val="618055296"/>
        <c:scaling>
          <c:orientation val="minMax"/>
        </c:scaling>
        <c:delete val="0"/>
        <c:axPos val="b"/>
        <c:title>
          <c:tx>
            <c:rich>
              <a:bodyPr/>
              <a:lstStyle/>
              <a:p>
                <a:pPr>
                  <a:defRPr/>
                </a:pPr>
                <a:r>
                  <a:rPr lang="en-GB"/>
                  <a:t>X11 Wait for Info (days)</a:t>
                </a:r>
              </a:p>
            </c:rich>
          </c:tx>
          <c:overlay val="0"/>
        </c:title>
        <c:numFmt formatCode="General" sourceLinked="1"/>
        <c:majorTickMark val="out"/>
        <c:minorTickMark val="none"/>
        <c:tickLblPos val="nextTo"/>
        <c:crossAx val="618052896"/>
        <c:crosses val="autoZero"/>
        <c:crossBetween val="midCat"/>
      </c:valAx>
      <c:valAx>
        <c:axId val="618052896"/>
        <c:scaling>
          <c:orientation val="minMax"/>
        </c:scaling>
        <c:delete val="0"/>
        <c:axPos val="l"/>
        <c:title>
          <c:tx>
            <c:rich>
              <a:bodyPr/>
              <a:lstStyle/>
              <a:p>
                <a:pPr>
                  <a:defRPr/>
                </a:pPr>
                <a:r>
                  <a:rPr lang="en-GB"/>
                  <a:t>Residuals</a:t>
                </a:r>
              </a:p>
            </c:rich>
          </c:tx>
          <c:overlay val="0"/>
        </c:title>
        <c:numFmt formatCode="General" sourceLinked="1"/>
        <c:majorTickMark val="out"/>
        <c:minorTickMark val="none"/>
        <c:tickLblPos val="nextTo"/>
        <c:crossAx val="618055296"/>
        <c:crosses val="autoZero"/>
        <c:crossBetween val="midCat"/>
      </c:valAx>
    </c:plotArea>
    <c:plotVisOnly val="1"/>
    <c:dispBlanksAs val="gap"/>
    <c:showDLblsOverMax val="0"/>
    <c:extLst>
      <c:ext xmlns:c16r3="http://schemas.microsoft.com/office/drawing/2017/03/chart" uri="{56B9EC1D-385E-4148-901F-78D8002777C0}">
        <c16r3:dataDisplayOptions16>
          <c16r3:dispNaAsBlank val="1"/>
        </c16r3:dataDisplayOptions16>
      </c:ext>
    </c:extLst>
  </c:chart>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X9 Amount (£k) Line Fit  Plot</a:t>
            </a:r>
          </a:p>
        </c:rich>
      </c:tx>
      <c:overlay val="0"/>
    </c:title>
    <c:autoTitleDeleted val="0"/>
    <c:plotArea>
      <c:layout/>
      <c:scatterChart>
        <c:scatterStyle val="lineMarker"/>
        <c:varyColors val="0"/>
        <c:ser>
          <c:idx val="0"/>
          <c:order val="0"/>
          <c:tx>
            <c:v>Y Lead Time (days)</c:v>
          </c:tx>
          <c:spPr>
            <a:ln w="19050">
              <a:noFill/>
            </a:ln>
          </c:spPr>
          <c:xVal>
            <c:numRef>
              <c:f>Regression!$B$4:$B$503</c:f>
              <c:numCache>
                <c:formatCode>General</c:formatCode>
                <c:ptCount val="500"/>
                <c:pt idx="0">
                  <c:v>38</c:v>
                </c:pt>
                <c:pt idx="1">
                  <c:v>51</c:v>
                </c:pt>
                <c:pt idx="2">
                  <c:v>23</c:v>
                </c:pt>
                <c:pt idx="3">
                  <c:v>46</c:v>
                </c:pt>
                <c:pt idx="4">
                  <c:v>49</c:v>
                </c:pt>
                <c:pt idx="5">
                  <c:v>36</c:v>
                </c:pt>
                <c:pt idx="6">
                  <c:v>84</c:v>
                </c:pt>
                <c:pt idx="7">
                  <c:v>37</c:v>
                </c:pt>
                <c:pt idx="8">
                  <c:v>52</c:v>
                </c:pt>
                <c:pt idx="9">
                  <c:v>53</c:v>
                </c:pt>
                <c:pt idx="10">
                  <c:v>24</c:v>
                </c:pt>
                <c:pt idx="11">
                  <c:v>35</c:v>
                </c:pt>
                <c:pt idx="12">
                  <c:v>28</c:v>
                </c:pt>
                <c:pt idx="13">
                  <c:v>26</c:v>
                </c:pt>
                <c:pt idx="14">
                  <c:v>43</c:v>
                </c:pt>
                <c:pt idx="15">
                  <c:v>51</c:v>
                </c:pt>
                <c:pt idx="16">
                  <c:v>63</c:v>
                </c:pt>
                <c:pt idx="17">
                  <c:v>59</c:v>
                </c:pt>
                <c:pt idx="18">
                  <c:v>53</c:v>
                </c:pt>
                <c:pt idx="19">
                  <c:v>55</c:v>
                </c:pt>
                <c:pt idx="20">
                  <c:v>71</c:v>
                </c:pt>
                <c:pt idx="21">
                  <c:v>33</c:v>
                </c:pt>
                <c:pt idx="22">
                  <c:v>56</c:v>
                </c:pt>
                <c:pt idx="23">
                  <c:v>45</c:v>
                </c:pt>
                <c:pt idx="24">
                  <c:v>24</c:v>
                </c:pt>
                <c:pt idx="25">
                  <c:v>36</c:v>
                </c:pt>
                <c:pt idx="26">
                  <c:v>65</c:v>
                </c:pt>
                <c:pt idx="27">
                  <c:v>43</c:v>
                </c:pt>
                <c:pt idx="28">
                  <c:v>24</c:v>
                </c:pt>
                <c:pt idx="29">
                  <c:v>56</c:v>
                </c:pt>
                <c:pt idx="30">
                  <c:v>25</c:v>
                </c:pt>
                <c:pt idx="31">
                  <c:v>92</c:v>
                </c:pt>
                <c:pt idx="32">
                  <c:v>39</c:v>
                </c:pt>
                <c:pt idx="33">
                  <c:v>18</c:v>
                </c:pt>
                <c:pt idx="34">
                  <c:v>31</c:v>
                </c:pt>
                <c:pt idx="35">
                  <c:v>47</c:v>
                </c:pt>
                <c:pt idx="36">
                  <c:v>142</c:v>
                </c:pt>
                <c:pt idx="37">
                  <c:v>46</c:v>
                </c:pt>
                <c:pt idx="38">
                  <c:v>53</c:v>
                </c:pt>
                <c:pt idx="39">
                  <c:v>55</c:v>
                </c:pt>
                <c:pt idx="40">
                  <c:v>67</c:v>
                </c:pt>
                <c:pt idx="41">
                  <c:v>35</c:v>
                </c:pt>
                <c:pt idx="42">
                  <c:v>27</c:v>
                </c:pt>
                <c:pt idx="43">
                  <c:v>16</c:v>
                </c:pt>
                <c:pt idx="44">
                  <c:v>21</c:v>
                </c:pt>
                <c:pt idx="45">
                  <c:v>69</c:v>
                </c:pt>
                <c:pt idx="46">
                  <c:v>30</c:v>
                </c:pt>
                <c:pt idx="47">
                  <c:v>95</c:v>
                </c:pt>
                <c:pt idx="48">
                  <c:v>28</c:v>
                </c:pt>
                <c:pt idx="49">
                  <c:v>46</c:v>
                </c:pt>
                <c:pt idx="50">
                  <c:v>72</c:v>
                </c:pt>
                <c:pt idx="51">
                  <c:v>53</c:v>
                </c:pt>
                <c:pt idx="52">
                  <c:v>59</c:v>
                </c:pt>
                <c:pt idx="53">
                  <c:v>23</c:v>
                </c:pt>
                <c:pt idx="54">
                  <c:v>27</c:v>
                </c:pt>
                <c:pt idx="55">
                  <c:v>41</c:v>
                </c:pt>
                <c:pt idx="56">
                  <c:v>62</c:v>
                </c:pt>
                <c:pt idx="57">
                  <c:v>44</c:v>
                </c:pt>
                <c:pt idx="58">
                  <c:v>45</c:v>
                </c:pt>
                <c:pt idx="59">
                  <c:v>18</c:v>
                </c:pt>
                <c:pt idx="60">
                  <c:v>36</c:v>
                </c:pt>
                <c:pt idx="61">
                  <c:v>18</c:v>
                </c:pt>
                <c:pt idx="62">
                  <c:v>105</c:v>
                </c:pt>
                <c:pt idx="63">
                  <c:v>51</c:v>
                </c:pt>
                <c:pt idx="64">
                  <c:v>62</c:v>
                </c:pt>
                <c:pt idx="65">
                  <c:v>64</c:v>
                </c:pt>
                <c:pt idx="66">
                  <c:v>45</c:v>
                </c:pt>
                <c:pt idx="67">
                  <c:v>59</c:v>
                </c:pt>
                <c:pt idx="68">
                  <c:v>18</c:v>
                </c:pt>
                <c:pt idx="69">
                  <c:v>51</c:v>
                </c:pt>
                <c:pt idx="70">
                  <c:v>64</c:v>
                </c:pt>
                <c:pt idx="71">
                  <c:v>45</c:v>
                </c:pt>
                <c:pt idx="72">
                  <c:v>35</c:v>
                </c:pt>
                <c:pt idx="73">
                  <c:v>32</c:v>
                </c:pt>
                <c:pt idx="74">
                  <c:v>37</c:v>
                </c:pt>
                <c:pt idx="75">
                  <c:v>42</c:v>
                </c:pt>
                <c:pt idx="76">
                  <c:v>54</c:v>
                </c:pt>
                <c:pt idx="77">
                  <c:v>70</c:v>
                </c:pt>
                <c:pt idx="78">
                  <c:v>68</c:v>
                </c:pt>
                <c:pt idx="79">
                  <c:v>42</c:v>
                </c:pt>
                <c:pt idx="80">
                  <c:v>83</c:v>
                </c:pt>
                <c:pt idx="81">
                  <c:v>55</c:v>
                </c:pt>
                <c:pt idx="82">
                  <c:v>38</c:v>
                </c:pt>
                <c:pt idx="83">
                  <c:v>37</c:v>
                </c:pt>
                <c:pt idx="84">
                  <c:v>45</c:v>
                </c:pt>
                <c:pt idx="85">
                  <c:v>70</c:v>
                </c:pt>
                <c:pt idx="86">
                  <c:v>39</c:v>
                </c:pt>
                <c:pt idx="87">
                  <c:v>17</c:v>
                </c:pt>
                <c:pt idx="88">
                  <c:v>52</c:v>
                </c:pt>
                <c:pt idx="89">
                  <c:v>63</c:v>
                </c:pt>
                <c:pt idx="90">
                  <c:v>59</c:v>
                </c:pt>
                <c:pt idx="91">
                  <c:v>56</c:v>
                </c:pt>
                <c:pt idx="92">
                  <c:v>31</c:v>
                </c:pt>
                <c:pt idx="93">
                  <c:v>78</c:v>
                </c:pt>
                <c:pt idx="94">
                  <c:v>27</c:v>
                </c:pt>
                <c:pt idx="95">
                  <c:v>72</c:v>
                </c:pt>
                <c:pt idx="96">
                  <c:v>70</c:v>
                </c:pt>
                <c:pt idx="97">
                  <c:v>47</c:v>
                </c:pt>
                <c:pt idx="98">
                  <c:v>72</c:v>
                </c:pt>
                <c:pt idx="99">
                  <c:v>55</c:v>
                </c:pt>
                <c:pt idx="100">
                  <c:v>74</c:v>
                </c:pt>
                <c:pt idx="101">
                  <c:v>87</c:v>
                </c:pt>
                <c:pt idx="102">
                  <c:v>15</c:v>
                </c:pt>
                <c:pt idx="103">
                  <c:v>60</c:v>
                </c:pt>
                <c:pt idx="104">
                  <c:v>41</c:v>
                </c:pt>
                <c:pt idx="105">
                  <c:v>35</c:v>
                </c:pt>
                <c:pt idx="106">
                  <c:v>24</c:v>
                </c:pt>
                <c:pt idx="107">
                  <c:v>48</c:v>
                </c:pt>
                <c:pt idx="108">
                  <c:v>73</c:v>
                </c:pt>
                <c:pt idx="109">
                  <c:v>17</c:v>
                </c:pt>
                <c:pt idx="110">
                  <c:v>60</c:v>
                </c:pt>
                <c:pt idx="111">
                  <c:v>48</c:v>
                </c:pt>
                <c:pt idx="112">
                  <c:v>55</c:v>
                </c:pt>
                <c:pt idx="113">
                  <c:v>71</c:v>
                </c:pt>
                <c:pt idx="114">
                  <c:v>39</c:v>
                </c:pt>
                <c:pt idx="115">
                  <c:v>41</c:v>
                </c:pt>
                <c:pt idx="116">
                  <c:v>53</c:v>
                </c:pt>
                <c:pt idx="117">
                  <c:v>61</c:v>
                </c:pt>
                <c:pt idx="118">
                  <c:v>55</c:v>
                </c:pt>
                <c:pt idx="119">
                  <c:v>84</c:v>
                </c:pt>
                <c:pt idx="120">
                  <c:v>40</c:v>
                </c:pt>
                <c:pt idx="121">
                  <c:v>48</c:v>
                </c:pt>
                <c:pt idx="122">
                  <c:v>43</c:v>
                </c:pt>
                <c:pt idx="123">
                  <c:v>47</c:v>
                </c:pt>
                <c:pt idx="124">
                  <c:v>51</c:v>
                </c:pt>
                <c:pt idx="125">
                  <c:v>54</c:v>
                </c:pt>
                <c:pt idx="126">
                  <c:v>45</c:v>
                </c:pt>
                <c:pt idx="127">
                  <c:v>25</c:v>
                </c:pt>
                <c:pt idx="128">
                  <c:v>52</c:v>
                </c:pt>
                <c:pt idx="129">
                  <c:v>27</c:v>
                </c:pt>
                <c:pt idx="130">
                  <c:v>35</c:v>
                </c:pt>
                <c:pt idx="131">
                  <c:v>37</c:v>
                </c:pt>
                <c:pt idx="132">
                  <c:v>31</c:v>
                </c:pt>
                <c:pt idx="133">
                  <c:v>17</c:v>
                </c:pt>
                <c:pt idx="134">
                  <c:v>61</c:v>
                </c:pt>
                <c:pt idx="135">
                  <c:v>44</c:v>
                </c:pt>
                <c:pt idx="136">
                  <c:v>45</c:v>
                </c:pt>
                <c:pt idx="137">
                  <c:v>27</c:v>
                </c:pt>
                <c:pt idx="138">
                  <c:v>47</c:v>
                </c:pt>
                <c:pt idx="139">
                  <c:v>33</c:v>
                </c:pt>
                <c:pt idx="140">
                  <c:v>65</c:v>
                </c:pt>
                <c:pt idx="141">
                  <c:v>69</c:v>
                </c:pt>
                <c:pt idx="142">
                  <c:v>17</c:v>
                </c:pt>
                <c:pt idx="143">
                  <c:v>56</c:v>
                </c:pt>
                <c:pt idx="144">
                  <c:v>95</c:v>
                </c:pt>
                <c:pt idx="145">
                  <c:v>52</c:v>
                </c:pt>
                <c:pt idx="146">
                  <c:v>43</c:v>
                </c:pt>
                <c:pt idx="147">
                  <c:v>45</c:v>
                </c:pt>
                <c:pt idx="148">
                  <c:v>83</c:v>
                </c:pt>
                <c:pt idx="149">
                  <c:v>80</c:v>
                </c:pt>
                <c:pt idx="150">
                  <c:v>30</c:v>
                </c:pt>
                <c:pt idx="151">
                  <c:v>70</c:v>
                </c:pt>
                <c:pt idx="152">
                  <c:v>50</c:v>
                </c:pt>
                <c:pt idx="153">
                  <c:v>76</c:v>
                </c:pt>
                <c:pt idx="154">
                  <c:v>75</c:v>
                </c:pt>
                <c:pt idx="155">
                  <c:v>23</c:v>
                </c:pt>
                <c:pt idx="156">
                  <c:v>79</c:v>
                </c:pt>
                <c:pt idx="157">
                  <c:v>57</c:v>
                </c:pt>
                <c:pt idx="158">
                  <c:v>21</c:v>
                </c:pt>
                <c:pt idx="159">
                  <c:v>70</c:v>
                </c:pt>
                <c:pt idx="160">
                  <c:v>71</c:v>
                </c:pt>
                <c:pt idx="161">
                  <c:v>33</c:v>
                </c:pt>
                <c:pt idx="162">
                  <c:v>24</c:v>
                </c:pt>
                <c:pt idx="163">
                  <c:v>45</c:v>
                </c:pt>
                <c:pt idx="164">
                  <c:v>79</c:v>
                </c:pt>
                <c:pt idx="165">
                  <c:v>38</c:v>
                </c:pt>
                <c:pt idx="166">
                  <c:v>55</c:v>
                </c:pt>
                <c:pt idx="167">
                  <c:v>71</c:v>
                </c:pt>
                <c:pt idx="168">
                  <c:v>27</c:v>
                </c:pt>
                <c:pt idx="169">
                  <c:v>60</c:v>
                </c:pt>
                <c:pt idx="170">
                  <c:v>60</c:v>
                </c:pt>
                <c:pt idx="171">
                  <c:v>49</c:v>
                </c:pt>
                <c:pt idx="172">
                  <c:v>38</c:v>
                </c:pt>
                <c:pt idx="173">
                  <c:v>25</c:v>
                </c:pt>
                <c:pt idx="174">
                  <c:v>39</c:v>
                </c:pt>
                <c:pt idx="175">
                  <c:v>51</c:v>
                </c:pt>
                <c:pt idx="176">
                  <c:v>44</c:v>
                </c:pt>
                <c:pt idx="177">
                  <c:v>60</c:v>
                </c:pt>
                <c:pt idx="178">
                  <c:v>20</c:v>
                </c:pt>
                <c:pt idx="179">
                  <c:v>32</c:v>
                </c:pt>
                <c:pt idx="180">
                  <c:v>26</c:v>
                </c:pt>
                <c:pt idx="181">
                  <c:v>91</c:v>
                </c:pt>
                <c:pt idx="182">
                  <c:v>72</c:v>
                </c:pt>
                <c:pt idx="183">
                  <c:v>49</c:v>
                </c:pt>
                <c:pt idx="184">
                  <c:v>37</c:v>
                </c:pt>
                <c:pt idx="185">
                  <c:v>36</c:v>
                </c:pt>
                <c:pt idx="186">
                  <c:v>39</c:v>
                </c:pt>
                <c:pt idx="187">
                  <c:v>88</c:v>
                </c:pt>
                <c:pt idx="188">
                  <c:v>66</c:v>
                </c:pt>
                <c:pt idx="189">
                  <c:v>73</c:v>
                </c:pt>
                <c:pt idx="190">
                  <c:v>64</c:v>
                </c:pt>
                <c:pt idx="191">
                  <c:v>47</c:v>
                </c:pt>
                <c:pt idx="192">
                  <c:v>45</c:v>
                </c:pt>
                <c:pt idx="193">
                  <c:v>51</c:v>
                </c:pt>
                <c:pt idx="194">
                  <c:v>42</c:v>
                </c:pt>
                <c:pt idx="195">
                  <c:v>93</c:v>
                </c:pt>
                <c:pt idx="196">
                  <c:v>66</c:v>
                </c:pt>
                <c:pt idx="197">
                  <c:v>55</c:v>
                </c:pt>
                <c:pt idx="198">
                  <c:v>52</c:v>
                </c:pt>
                <c:pt idx="199">
                  <c:v>74</c:v>
                </c:pt>
                <c:pt idx="200">
                  <c:v>8</c:v>
                </c:pt>
                <c:pt idx="201">
                  <c:v>45</c:v>
                </c:pt>
                <c:pt idx="202">
                  <c:v>51</c:v>
                </c:pt>
                <c:pt idx="203">
                  <c:v>23</c:v>
                </c:pt>
                <c:pt idx="204">
                  <c:v>79</c:v>
                </c:pt>
                <c:pt idx="205">
                  <c:v>38</c:v>
                </c:pt>
                <c:pt idx="206">
                  <c:v>46</c:v>
                </c:pt>
                <c:pt idx="207">
                  <c:v>31</c:v>
                </c:pt>
                <c:pt idx="208">
                  <c:v>29</c:v>
                </c:pt>
                <c:pt idx="209">
                  <c:v>85</c:v>
                </c:pt>
                <c:pt idx="210">
                  <c:v>105</c:v>
                </c:pt>
                <c:pt idx="211">
                  <c:v>28</c:v>
                </c:pt>
                <c:pt idx="212">
                  <c:v>82</c:v>
                </c:pt>
                <c:pt idx="213">
                  <c:v>43</c:v>
                </c:pt>
                <c:pt idx="214">
                  <c:v>64</c:v>
                </c:pt>
                <c:pt idx="215">
                  <c:v>85</c:v>
                </c:pt>
                <c:pt idx="216">
                  <c:v>35</c:v>
                </c:pt>
                <c:pt idx="217">
                  <c:v>71</c:v>
                </c:pt>
                <c:pt idx="218">
                  <c:v>33</c:v>
                </c:pt>
                <c:pt idx="219">
                  <c:v>80</c:v>
                </c:pt>
                <c:pt idx="220">
                  <c:v>35</c:v>
                </c:pt>
                <c:pt idx="221">
                  <c:v>54</c:v>
                </c:pt>
                <c:pt idx="222">
                  <c:v>39</c:v>
                </c:pt>
                <c:pt idx="223">
                  <c:v>66</c:v>
                </c:pt>
                <c:pt idx="224">
                  <c:v>25</c:v>
                </c:pt>
                <c:pt idx="225">
                  <c:v>61</c:v>
                </c:pt>
                <c:pt idx="226">
                  <c:v>133</c:v>
                </c:pt>
                <c:pt idx="227">
                  <c:v>65</c:v>
                </c:pt>
                <c:pt idx="228">
                  <c:v>49</c:v>
                </c:pt>
                <c:pt idx="229">
                  <c:v>62</c:v>
                </c:pt>
                <c:pt idx="230">
                  <c:v>43</c:v>
                </c:pt>
                <c:pt idx="231">
                  <c:v>94</c:v>
                </c:pt>
                <c:pt idx="232">
                  <c:v>118</c:v>
                </c:pt>
                <c:pt idx="233">
                  <c:v>56</c:v>
                </c:pt>
                <c:pt idx="234">
                  <c:v>34</c:v>
                </c:pt>
                <c:pt idx="235">
                  <c:v>85</c:v>
                </c:pt>
                <c:pt idx="236">
                  <c:v>29</c:v>
                </c:pt>
                <c:pt idx="237">
                  <c:v>56</c:v>
                </c:pt>
                <c:pt idx="238">
                  <c:v>44</c:v>
                </c:pt>
                <c:pt idx="239">
                  <c:v>82</c:v>
                </c:pt>
                <c:pt idx="240">
                  <c:v>54</c:v>
                </c:pt>
                <c:pt idx="241">
                  <c:v>37</c:v>
                </c:pt>
                <c:pt idx="242">
                  <c:v>24</c:v>
                </c:pt>
                <c:pt idx="243">
                  <c:v>117</c:v>
                </c:pt>
                <c:pt idx="244">
                  <c:v>90</c:v>
                </c:pt>
                <c:pt idx="245">
                  <c:v>20</c:v>
                </c:pt>
                <c:pt idx="246">
                  <c:v>50</c:v>
                </c:pt>
                <c:pt idx="247">
                  <c:v>49</c:v>
                </c:pt>
                <c:pt idx="248">
                  <c:v>55</c:v>
                </c:pt>
                <c:pt idx="249">
                  <c:v>44</c:v>
                </c:pt>
                <c:pt idx="250">
                  <c:v>29</c:v>
                </c:pt>
                <c:pt idx="251">
                  <c:v>64</c:v>
                </c:pt>
                <c:pt idx="252">
                  <c:v>72</c:v>
                </c:pt>
                <c:pt idx="253">
                  <c:v>60</c:v>
                </c:pt>
                <c:pt idx="254">
                  <c:v>50</c:v>
                </c:pt>
                <c:pt idx="255">
                  <c:v>93</c:v>
                </c:pt>
                <c:pt idx="256">
                  <c:v>77</c:v>
                </c:pt>
                <c:pt idx="257">
                  <c:v>45</c:v>
                </c:pt>
                <c:pt idx="258">
                  <c:v>29</c:v>
                </c:pt>
                <c:pt idx="259">
                  <c:v>60</c:v>
                </c:pt>
                <c:pt idx="260">
                  <c:v>60</c:v>
                </c:pt>
                <c:pt idx="261">
                  <c:v>44</c:v>
                </c:pt>
                <c:pt idx="262">
                  <c:v>25</c:v>
                </c:pt>
                <c:pt idx="263">
                  <c:v>35</c:v>
                </c:pt>
                <c:pt idx="264">
                  <c:v>26</c:v>
                </c:pt>
                <c:pt idx="265">
                  <c:v>23</c:v>
                </c:pt>
                <c:pt idx="266">
                  <c:v>48</c:v>
                </c:pt>
                <c:pt idx="267">
                  <c:v>86</c:v>
                </c:pt>
                <c:pt idx="268">
                  <c:v>50</c:v>
                </c:pt>
                <c:pt idx="269">
                  <c:v>48</c:v>
                </c:pt>
                <c:pt idx="270">
                  <c:v>100</c:v>
                </c:pt>
                <c:pt idx="271">
                  <c:v>57</c:v>
                </c:pt>
                <c:pt idx="272">
                  <c:v>55</c:v>
                </c:pt>
                <c:pt idx="273">
                  <c:v>71</c:v>
                </c:pt>
                <c:pt idx="274">
                  <c:v>64</c:v>
                </c:pt>
                <c:pt idx="275">
                  <c:v>15</c:v>
                </c:pt>
                <c:pt idx="276">
                  <c:v>72</c:v>
                </c:pt>
                <c:pt idx="277">
                  <c:v>24</c:v>
                </c:pt>
                <c:pt idx="278">
                  <c:v>36</c:v>
                </c:pt>
                <c:pt idx="279">
                  <c:v>101</c:v>
                </c:pt>
                <c:pt idx="280">
                  <c:v>28</c:v>
                </c:pt>
                <c:pt idx="281">
                  <c:v>35</c:v>
                </c:pt>
                <c:pt idx="282">
                  <c:v>80</c:v>
                </c:pt>
                <c:pt idx="283">
                  <c:v>56</c:v>
                </c:pt>
                <c:pt idx="284">
                  <c:v>55</c:v>
                </c:pt>
                <c:pt idx="285">
                  <c:v>72</c:v>
                </c:pt>
                <c:pt idx="286">
                  <c:v>79</c:v>
                </c:pt>
                <c:pt idx="287">
                  <c:v>47</c:v>
                </c:pt>
                <c:pt idx="288">
                  <c:v>35</c:v>
                </c:pt>
                <c:pt idx="289">
                  <c:v>101</c:v>
                </c:pt>
                <c:pt idx="290">
                  <c:v>70</c:v>
                </c:pt>
                <c:pt idx="291">
                  <c:v>63</c:v>
                </c:pt>
                <c:pt idx="292">
                  <c:v>75</c:v>
                </c:pt>
                <c:pt idx="293">
                  <c:v>8</c:v>
                </c:pt>
                <c:pt idx="294">
                  <c:v>44</c:v>
                </c:pt>
                <c:pt idx="295">
                  <c:v>45</c:v>
                </c:pt>
                <c:pt idx="296">
                  <c:v>63</c:v>
                </c:pt>
                <c:pt idx="297">
                  <c:v>40</c:v>
                </c:pt>
                <c:pt idx="298">
                  <c:v>30</c:v>
                </c:pt>
                <c:pt idx="299">
                  <c:v>49</c:v>
                </c:pt>
                <c:pt idx="300">
                  <c:v>122</c:v>
                </c:pt>
                <c:pt idx="301">
                  <c:v>34</c:v>
                </c:pt>
                <c:pt idx="302">
                  <c:v>35</c:v>
                </c:pt>
                <c:pt idx="303">
                  <c:v>79</c:v>
                </c:pt>
                <c:pt idx="304">
                  <c:v>16</c:v>
                </c:pt>
                <c:pt idx="305">
                  <c:v>59</c:v>
                </c:pt>
                <c:pt idx="306">
                  <c:v>38</c:v>
                </c:pt>
                <c:pt idx="307">
                  <c:v>51</c:v>
                </c:pt>
                <c:pt idx="308">
                  <c:v>34</c:v>
                </c:pt>
                <c:pt idx="309">
                  <c:v>65</c:v>
                </c:pt>
                <c:pt idx="310">
                  <c:v>45</c:v>
                </c:pt>
                <c:pt idx="311">
                  <c:v>81</c:v>
                </c:pt>
                <c:pt idx="312">
                  <c:v>64</c:v>
                </c:pt>
                <c:pt idx="313">
                  <c:v>55</c:v>
                </c:pt>
                <c:pt idx="314">
                  <c:v>41</c:v>
                </c:pt>
                <c:pt idx="315">
                  <c:v>66</c:v>
                </c:pt>
                <c:pt idx="316">
                  <c:v>67</c:v>
                </c:pt>
                <c:pt idx="317">
                  <c:v>79</c:v>
                </c:pt>
                <c:pt idx="318">
                  <c:v>37</c:v>
                </c:pt>
                <c:pt idx="319">
                  <c:v>83</c:v>
                </c:pt>
                <c:pt idx="320">
                  <c:v>39</c:v>
                </c:pt>
                <c:pt idx="321">
                  <c:v>55</c:v>
                </c:pt>
                <c:pt idx="322">
                  <c:v>32</c:v>
                </c:pt>
                <c:pt idx="323">
                  <c:v>43</c:v>
                </c:pt>
                <c:pt idx="324">
                  <c:v>39</c:v>
                </c:pt>
                <c:pt idx="325">
                  <c:v>55</c:v>
                </c:pt>
                <c:pt idx="326">
                  <c:v>61</c:v>
                </c:pt>
                <c:pt idx="327">
                  <c:v>63</c:v>
                </c:pt>
                <c:pt idx="328">
                  <c:v>79</c:v>
                </c:pt>
                <c:pt idx="329">
                  <c:v>56</c:v>
                </c:pt>
                <c:pt idx="330">
                  <c:v>30</c:v>
                </c:pt>
                <c:pt idx="331">
                  <c:v>60</c:v>
                </c:pt>
                <c:pt idx="332">
                  <c:v>30</c:v>
                </c:pt>
                <c:pt idx="333">
                  <c:v>24</c:v>
                </c:pt>
                <c:pt idx="334">
                  <c:v>17</c:v>
                </c:pt>
                <c:pt idx="335">
                  <c:v>81</c:v>
                </c:pt>
                <c:pt idx="336">
                  <c:v>33</c:v>
                </c:pt>
                <c:pt idx="337">
                  <c:v>54</c:v>
                </c:pt>
                <c:pt idx="338">
                  <c:v>55</c:v>
                </c:pt>
                <c:pt idx="339">
                  <c:v>45</c:v>
                </c:pt>
                <c:pt idx="340">
                  <c:v>65</c:v>
                </c:pt>
                <c:pt idx="341">
                  <c:v>49</c:v>
                </c:pt>
                <c:pt idx="342">
                  <c:v>37</c:v>
                </c:pt>
                <c:pt idx="343">
                  <c:v>26</c:v>
                </c:pt>
                <c:pt idx="344">
                  <c:v>33</c:v>
                </c:pt>
                <c:pt idx="345">
                  <c:v>100</c:v>
                </c:pt>
                <c:pt idx="346">
                  <c:v>19</c:v>
                </c:pt>
                <c:pt idx="347">
                  <c:v>27</c:v>
                </c:pt>
                <c:pt idx="348">
                  <c:v>41</c:v>
                </c:pt>
                <c:pt idx="349">
                  <c:v>43</c:v>
                </c:pt>
                <c:pt idx="350">
                  <c:v>81</c:v>
                </c:pt>
                <c:pt idx="351">
                  <c:v>50</c:v>
                </c:pt>
                <c:pt idx="352">
                  <c:v>70</c:v>
                </c:pt>
                <c:pt idx="353">
                  <c:v>41</c:v>
                </c:pt>
                <c:pt idx="354">
                  <c:v>34</c:v>
                </c:pt>
                <c:pt idx="355">
                  <c:v>45</c:v>
                </c:pt>
                <c:pt idx="356">
                  <c:v>78</c:v>
                </c:pt>
                <c:pt idx="357">
                  <c:v>54</c:v>
                </c:pt>
                <c:pt idx="358">
                  <c:v>45</c:v>
                </c:pt>
                <c:pt idx="359">
                  <c:v>56</c:v>
                </c:pt>
                <c:pt idx="360">
                  <c:v>31</c:v>
                </c:pt>
                <c:pt idx="361">
                  <c:v>71</c:v>
                </c:pt>
                <c:pt idx="362">
                  <c:v>55</c:v>
                </c:pt>
                <c:pt idx="363">
                  <c:v>26</c:v>
                </c:pt>
                <c:pt idx="364">
                  <c:v>76</c:v>
                </c:pt>
                <c:pt idx="365">
                  <c:v>45</c:v>
                </c:pt>
                <c:pt idx="366">
                  <c:v>48</c:v>
                </c:pt>
                <c:pt idx="367">
                  <c:v>39</c:v>
                </c:pt>
                <c:pt idx="368">
                  <c:v>57</c:v>
                </c:pt>
                <c:pt idx="369">
                  <c:v>53</c:v>
                </c:pt>
                <c:pt idx="370">
                  <c:v>55</c:v>
                </c:pt>
                <c:pt idx="371">
                  <c:v>39</c:v>
                </c:pt>
                <c:pt idx="372">
                  <c:v>48</c:v>
                </c:pt>
                <c:pt idx="373">
                  <c:v>88</c:v>
                </c:pt>
                <c:pt idx="374">
                  <c:v>59</c:v>
                </c:pt>
                <c:pt idx="375">
                  <c:v>37</c:v>
                </c:pt>
                <c:pt idx="376">
                  <c:v>51</c:v>
                </c:pt>
                <c:pt idx="377">
                  <c:v>27</c:v>
                </c:pt>
                <c:pt idx="378">
                  <c:v>72</c:v>
                </c:pt>
                <c:pt idx="379">
                  <c:v>39</c:v>
                </c:pt>
                <c:pt idx="380">
                  <c:v>66</c:v>
                </c:pt>
                <c:pt idx="381">
                  <c:v>70</c:v>
                </c:pt>
                <c:pt idx="382">
                  <c:v>36</c:v>
                </c:pt>
                <c:pt idx="383">
                  <c:v>31</c:v>
                </c:pt>
                <c:pt idx="384">
                  <c:v>39</c:v>
                </c:pt>
                <c:pt idx="385">
                  <c:v>48</c:v>
                </c:pt>
                <c:pt idx="386">
                  <c:v>55</c:v>
                </c:pt>
                <c:pt idx="387">
                  <c:v>57</c:v>
                </c:pt>
                <c:pt idx="388">
                  <c:v>36</c:v>
                </c:pt>
                <c:pt idx="389">
                  <c:v>72</c:v>
                </c:pt>
                <c:pt idx="390">
                  <c:v>31</c:v>
                </c:pt>
                <c:pt idx="391">
                  <c:v>35</c:v>
                </c:pt>
                <c:pt idx="392">
                  <c:v>48</c:v>
                </c:pt>
                <c:pt idx="393">
                  <c:v>27</c:v>
                </c:pt>
                <c:pt idx="394">
                  <c:v>31</c:v>
                </c:pt>
                <c:pt idx="395">
                  <c:v>53</c:v>
                </c:pt>
                <c:pt idx="396">
                  <c:v>34</c:v>
                </c:pt>
                <c:pt idx="397">
                  <c:v>36</c:v>
                </c:pt>
                <c:pt idx="398">
                  <c:v>11</c:v>
                </c:pt>
                <c:pt idx="399">
                  <c:v>22</c:v>
                </c:pt>
                <c:pt idx="400">
                  <c:v>33</c:v>
                </c:pt>
                <c:pt idx="401">
                  <c:v>55</c:v>
                </c:pt>
                <c:pt idx="402">
                  <c:v>47</c:v>
                </c:pt>
                <c:pt idx="403">
                  <c:v>41</c:v>
                </c:pt>
                <c:pt idx="404">
                  <c:v>85</c:v>
                </c:pt>
                <c:pt idx="405">
                  <c:v>67</c:v>
                </c:pt>
                <c:pt idx="406">
                  <c:v>43</c:v>
                </c:pt>
                <c:pt idx="407">
                  <c:v>57</c:v>
                </c:pt>
                <c:pt idx="408">
                  <c:v>27</c:v>
                </c:pt>
                <c:pt idx="409">
                  <c:v>54</c:v>
                </c:pt>
                <c:pt idx="410">
                  <c:v>86</c:v>
                </c:pt>
                <c:pt idx="411">
                  <c:v>64</c:v>
                </c:pt>
                <c:pt idx="412">
                  <c:v>33</c:v>
                </c:pt>
                <c:pt idx="413">
                  <c:v>44</c:v>
                </c:pt>
                <c:pt idx="414">
                  <c:v>39</c:v>
                </c:pt>
                <c:pt idx="415">
                  <c:v>67</c:v>
                </c:pt>
                <c:pt idx="416">
                  <c:v>26</c:v>
                </c:pt>
                <c:pt idx="417">
                  <c:v>71</c:v>
                </c:pt>
                <c:pt idx="418">
                  <c:v>45</c:v>
                </c:pt>
                <c:pt idx="419">
                  <c:v>69</c:v>
                </c:pt>
                <c:pt idx="420">
                  <c:v>68</c:v>
                </c:pt>
                <c:pt idx="421">
                  <c:v>44</c:v>
                </c:pt>
                <c:pt idx="422">
                  <c:v>53</c:v>
                </c:pt>
                <c:pt idx="423">
                  <c:v>65</c:v>
                </c:pt>
                <c:pt idx="424">
                  <c:v>39</c:v>
                </c:pt>
                <c:pt idx="425">
                  <c:v>88</c:v>
                </c:pt>
                <c:pt idx="426">
                  <c:v>56</c:v>
                </c:pt>
                <c:pt idx="427">
                  <c:v>55</c:v>
                </c:pt>
                <c:pt idx="428">
                  <c:v>42</c:v>
                </c:pt>
                <c:pt idx="429">
                  <c:v>27</c:v>
                </c:pt>
                <c:pt idx="430">
                  <c:v>36</c:v>
                </c:pt>
                <c:pt idx="431">
                  <c:v>31</c:v>
                </c:pt>
                <c:pt idx="432">
                  <c:v>19</c:v>
                </c:pt>
                <c:pt idx="433">
                  <c:v>107</c:v>
                </c:pt>
                <c:pt idx="434">
                  <c:v>111</c:v>
                </c:pt>
                <c:pt idx="435">
                  <c:v>73</c:v>
                </c:pt>
                <c:pt idx="436">
                  <c:v>34</c:v>
                </c:pt>
                <c:pt idx="437">
                  <c:v>47</c:v>
                </c:pt>
                <c:pt idx="438">
                  <c:v>15</c:v>
                </c:pt>
                <c:pt idx="439">
                  <c:v>41</c:v>
                </c:pt>
                <c:pt idx="440">
                  <c:v>92</c:v>
                </c:pt>
                <c:pt idx="441">
                  <c:v>55</c:v>
                </c:pt>
                <c:pt idx="442">
                  <c:v>45</c:v>
                </c:pt>
                <c:pt idx="443">
                  <c:v>48</c:v>
                </c:pt>
                <c:pt idx="444">
                  <c:v>33</c:v>
                </c:pt>
                <c:pt idx="445">
                  <c:v>84</c:v>
                </c:pt>
                <c:pt idx="446">
                  <c:v>47</c:v>
                </c:pt>
                <c:pt idx="447">
                  <c:v>25</c:v>
                </c:pt>
                <c:pt idx="448">
                  <c:v>68</c:v>
                </c:pt>
                <c:pt idx="449">
                  <c:v>16</c:v>
                </c:pt>
                <c:pt idx="450">
                  <c:v>74</c:v>
                </c:pt>
                <c:pt idx="451">
                  <c:v>98</c:v>
                </c:pt>
                <c:pt idx="452">
                  <c:v>36</c:v>
                </c:pt>
                <c:pt idx="453">
                  <c:v>15</c:v>
                </c:pt>
                <c:pt idx="454">
                  <c:v>62</c:v>
                </c:pt>
                <c:pt idx="455">
                  <c:v>25</c:v>
                </c:pt>
                <c:pt idx="456">
                  <c:v>66</c:v>
                </c:pt>
                <c:pt idx="457">
                  <c:v>71</c:v>
                </c:pt>
                <c:pt idx="458">
                  <c:v>84</c:v>
                </c:pt>
                <c:pt idx="459">
                  <c:v>73</c:v>
                </c:pt>
                <c:pt idx="460">
                  <c:v>76</c:v>
                </c:pt>
                <c:pt idx="461">
                  <c:v>35</c:v>
                </c:pt>
                <c:pt idx="462">
                  <c:v>41</c:v>
                </c:pt>
                <c:pt idx="463">
                  <c:v>42</c:v>
                </c:pt>
                <c:pt idx="464">
                  <c:v>83</c:v>
                </c:pt>
                <c:pt idx="465">
                  <c:v>55</c:v>
                </c:pt>
                <c:pt idx="466">
                  <c:v>61</c:v>
                </c:pt>
                <c:pt idx="467">
                  <c:v>84</c:v>
                </c:pt>
                <c:pt idx="468">
                  <c:v>35</c:v>
                </c:pt>
                <c:pt idx="469">
                  <c:v>75</c:v>
                </c:pt>
                <c:pt idx="470">
                  <c:v>49</c:v>
                </c:pt>
                <c:pt idx="471">
                  <c:v>37</c:v>
                </c:pt>
                <c:pt idx="472">
                  <c:v>52</c:v>
                </c:pt>
                <c:pt idx="473">
                  <c:v>73</c:v>
                </c:pt>
                <c:pt idx="474">
                  <c:v>45</c:v>
                </c:pt>
                <c:pt idx="475">
                  <c:v>22</c:v>
                </c:pt>
                <c:pt idx="476">
                  <c:v>47</c:v>
                </c:pt>
                <c:pt idx="477">
                  <c:v>44</c:v>
                </c:pt>
                <c:pt idx="478">
                  <c:v>39</c:v>
                </c:pt>
                <c:pt idx="479">
                  <c:v>56</c:v>
                </c:pt>
                <c:pt idx="480">
                  <c:v>34</c:v>
                </c:pt>
                <c:pt idx="481">
                  <c:v>57</c:v>
                </c:pt>
                <c:pt idx="482">
                  <c:v>51</c:v>
                </c:pt>
                <c:pt idx="483">
                  <c:v>44</c:v>
                </c:pt>
                <c:pt idx="484">
                  <c:v>30</c:v>
                </c:pt>
                <c:pt idx="485">
                  <c:v>32</c:v>
                </c:pt>
                <c:pt idx="486">
                  <c:v>73</c:v>
                </c:pt>
                <c:pt idx="487">
                  <c:v>82</c:v>
                </c:pt>
                <c:pt idx="488">
                  <c:v>83</c:v>
                </c:pt>
                <c:pt idx="489">
                  <c:v>46</c:v>
                </c:pt>
                <c:pt idx="490">
                  <c:v>25</c:v>
                </c:pt>
                <c:pt idx="491">
                  <c:v>48</c:v>
                </c:pt>
                <c:pt idx="492">
                  <c:v>37</c:v>
                </c:pt>
                <c:pt idx="493">
                  <c:v>33</c:v>
                </c:pt>
                <c:pt idx="494">
                  <c:v>61</c:v>
                </c:pt>
                <c:pt idx="495">
                  <c:v>48</c:v>
                </c:pt>
                <c:pt idx="496">
                  <c:v>135</c:v>
                </c:pt>
                <c:pt idx="497">
                  <c:v>72</c:v>
                </c:pt>
                <c:pt idx="498">
                  <c:v>32</c:v>
                </c:pt>
                <c:pt idx="499">
                  <c:v>76</c:v>
                </c:pt>
              </c:numCache>
            </c:numRef>
          </c:xVal>
          <c:yVal>
            <c:numRef>
              <c:f>Regression!$A$4:$A$503</c:f>
              <c:numCache>
                <c:formatCode>General</c:formatCode>
                <c:ptCount val="500"/>
                <c:pt idx="0">
                  <c:v>4</c:v>
                </c:pt>
                <c:pt idx="1">
                  <c:v>9</c:v>
                </c:pt>
                <c:pt idx="2">
                  <c:v>6</c:v>
                </c:pt>
                <c:pt idx="3">
                  <c:v>5</c:v>
                </c:pt>
                <c:pt idx="4">
                  <c:v>5</c:v>
                </c:pt>
                <c:pt idx="5">
                  <c:v>5</c:v>
                </c:pt>
                <c:pt idx="6">
                  <c:v>4</c:v>
                </c:pt>
                <c:pt idx="7">
                  <c:v>4</c:v>
                </c:pt>
                <c:pt idx="8">
                  <c:v>4</c:v>
                </c:pt>
                <c:pt idx="9">
                  <c:v>4</c:v>
                </c:pt>
                <c:pt idx="10">
                  <c:v>4</c:v>
                </c:pt>
                <c:pt idx="11">
                  <c:v>8</c:v>
                </c:pt>
                <c:pt idx="12">
                  <c:v>5</c:v>
                </c:pt>
                <c:pt idx="13">
                  <c:v>7</c:v>
                </c:pt>
                <c:pt idx="14">
                  <c:v>7</c:v>
                </c:pt>
                <c:pt idx="15">
                  <c:v>6</c:v>
                </c:pt>
                <c:pt idx="16">
                  <c:v>6</c:v>
                </c:pt>
                <c:pt idx="17">
                  <c:v>10</c:v>
                </c:pt>
                <c:pt idx="18">
                  <c:v>9</c:v>
                </c:pt>
                <c:pt idx="19">
                  <c:v>6</c:v>
                </c:pt>
                <c:pt idx="20">
                  <c:v>5</c:v>
                </c:pt>
                <c:pt idx="21">
                  <c:v>5</c:v>
                </c:pt>
                <c:pt idx="22">
                  <c:v>3</c:v>
                </c:pt>
                <c:pt idx="23">
                  <c:v>8</c:v>
                </c:pt>
                <c:pt idx="24">
                  <c:v>6</c:v>
                </c:pt>
                <c:pt idx="25">
                  <c:v>4</c:v>
                </c:pt>
                <c:pt idx="26">
                  <c:v>4</c:v>
                </c:pt>
                <c:pt idx="27">
                  <c:v>10</c:v>
                </c:pt>
                <c:pt idx="28">
                  <c:v>8</c:v>
                </c:pt>
                <c:pt idx="29">
                  <c:v>5</c:v>
                </c:pt>
                <c:pt idx="30">
                  <c:v>9</c:v>
                </c:pt>
                <c:pt idx="31">
                  <c:v>6</c:v>
                </c:pt>
                <c:pt idx="32">
                  <c:v>4</c:v>
                </c:pt>
                <c:pt idx="33">
                  <c:v>4</c:v>
                </c:pt>
                <c:pt idx="34">
                  <c:v>7</c:v>
                </c:pt>
                <c:pt idx="35">
                  <c:v>5</c:v>
                </c:pt>
                <c:pt idx="36">
                  <c:v>6</c:v>
                </c:pt>
                <c:pt idx="37">
                  <c:v>7</c:v>
                </c:pt>
                <c:pt idx="38">
                  <c:v>5</c:v>
                </c:pt>
                <c:pt idx="39">
                  <c:v>3</c:v>
                </c:pt>
                <c:pt idx="40">
                  <c:v>7</c:v>
                </c:pt>
                <c:pt idx="41">
                  <c:v>7</c:v>
                </c:pt>
                <c:pt idx="42">
                  <c:v>6</c:v>
                </c:pt>
                <c:pt idx="43">
                  <c:v>5</c:v>
                </c:pt>
                <c:pt idx="44">
                  <c:v>8</c:v>
                </c:pt>
                <c:pt idx="45">
                  <c:v>6</c:v>
                </c:pt>
                <c:pt idx="46">
                  <c:v>4</c:v>
                </c:pt>
                <c:pt idx="47">
                  <c:v>3</c:v>
                </c:pt>
                <c:pt idx="48">
                  <c:v>4</c:v>
                </c:pt>
                <c:pt idx="49">
                  <c:v>9</c:v>
                </c:pt>
                <c:pt idx="50">
                  <c:v>3</c:v>
                </c:pt>
                <c:pt idx="51">
                  <c:v>5</c:v>
                </c:pt>
                <c:pt idx="52">
                  <c:v>6</c:v>
                </c:pt>
                <c:pt idx="53">
                  <c:v>6</c:v>
                </c:pt>
                <c:pt idx="54">
                  <c:v>8</c:v>
                </c:pt>
                <c:pt idx="55">
                  <c:v>3</c:v>
                </c:pt>
                <c:pt idx="56">
                  <c:v>6</c:v>
                </c:pt>
                <c:pt idx="57">
                  <c:v>7</c:v>
                </c:pt>
                <c:pt idx="58">
                  <c:v>7</c:v>
                </c:pt>
                <c:pt idx="59">
                  <c:v>3</c:v>
                </c:pt>
                <c:pt idx="60">
                  <c:v>6</c:v>
                </c:pt>
                <c:pt idx="61">
                  <c:v>5</c:v>
                </c:pt>
                <c:pt idx="62">
                  <c:v>4</c:v>
                </c:pt>
                <c:pt idx="63">
                  <c:v>6</c:v>
                </c:pt>
                <c:pt idx="64">
                  <c:v>5</c:v>
                </c:pt>
                <c:pt idx="65">
                  <c:v>4</c:v>
                </c:pt>
                <c:pt idx="66">
                  <c:v>6</c:v>
                </c:pt>
                <c:pt idx="67">
                  <c:v>7</c:v>
                </c:pt>
                <c:pt idx="68">
                  <c:v>5</c:v>
                </c:pt>
                <c:pt idx="69">
                  <c:v>5</c:v>
                </c:pt>
                <c:pt idx="70">
                  <c:v>4</c:v>
                </c:pt>
                <c:pt idx="71">
                  <c:v>7</c:v>
                </c:pt>
                <c:pt idx="72">
                  <c:v>5</c:v>
                </c:pt>
                <c:pt idx="73">
                  <c:v>7</c:v>
                </c:pt>
                <c:pt idx="74">
                  <c:v>5</c:v>
                </c:pt>
                <c:pt idx="75">
                  <c:v>5</c:v>
                </c:pt>
                <c:pt idx="76">
                  <c:v>6</c:v>
                </c:pt>
                <c:pt idx="77">
                  <c:v>5</c:v>
                </c:pt>
                <c:pt idx="78">
                  <c:v>7</c:v>
                </c:pt>
                <c:pt idx="79">
                  <c:v>4</c:v>
                </c:pt>
                <c:pt idx="80">
                  <c:v>7</c:v>
                </c:pt>
                <c:pt idx="81">
                  <c:v>4</c:v>
                </c:pt>
                <c:pt idx="82">
                  <c:v>6</c:v>
                </c:pt>
                <c:pt idx="83">
                  <c:v>6</c:v>
                </c:pt>
                <c:pt idx="84">
                  <c:v>4</c:v>
                </c:pt>
                <c:pt idx="85">
                  <c:v>4</c:v>
                </c:pt>
                <c:pt idx="86">
                  <c:v>6</c:v>
                </c:pt>
                <c:pt idx="87">
                  <c:v>5</c:v>
                </c:pt>
                <c:pt idx="88">
                  <c:v>5</c:v>
                </c:pt>
                <c:pt idx="89">
                  <c:v>6</c:v>
                </c:pt>
                <c:pt idx="90">
                  <c:v>6</c:v>
                </c:pt>
                <c:pt idx="91">
                  <c:v>4</c:v>
                </c:pt>
                <c:pt idx="92">
                  <c:v>3</c:v>
                </c:pt>
                <c:pt idx="93">
                  <c:v>4</c:v>
                </c:pt>
                <c:pt idx="94">
                  <c:v>6</c:v>
                </c:pt>
                <c:pt idx="95">
                  <c:v>5</c:v>
                </c:pt>
                <c:pt idx="96">
                  <c:v>8</c:v>
                </c:pt>
                <c:pt idx="97">
                  <c:v>5</c:v>
                </c:pt>
                <c:pt idx="98">
                  <c:v>5</c:v>
                </c:pt>
                <c:pt idx="99">
                  <c:v>6</c:v>
                </c:pt>
                <c:pt idx="100">
                  <c:v>6</c:v>
                </c:pt>
                <c:pt idx="101">
                  <c:v>6</c:v>
                </c:pt>
                <c:pt idx="102">
                  <c:v>6</c:v>
                </c:pt>
                <c:pt idx="103">
                  <c:v>6</c:v>
                </c:pt>
                <c:pt idx="104">
                  <c:v>7</c:v>
                </c:pt>
                <c:pt idx="105">
                  <c:v>7</c:v>
                </c:pt>
                <c:pt idx="106">
                  <c:v>7</c:v>
                </c:pt>
                <c:pt idx="107">
                  <c:v>7</c:v>
                </c:pt>
                <c:pt idx="108">
                  <c:v>7</c:v>
                </c:pt>
                <c:pt idx="109">
                  <c:v>5</c:v>
                </c:pt>
                <c:pt idx="110">
                  <c:v>6</c:v>
                </c:pt>
                <c:pt idx="111">
                  <c:v>5</c:v>
                </c:pt>
                <c:pt idx="112">
                  <c:v>4</c:v>
                </c:pt>
                <c:pt idx="113">
                  <c:v>3</c:v>
                </c:pt>
                <c:pt idx="114">
                  <c:v>4</c:v>
                </c:pt>
                <c:pt idx="115">
                  <c:v>3</c:v>
                </c:pt>
                <c:pt idx="116">
                  <c:v>5</c:v>
                </c:pt>
                <c:pt idx="117">
                  <c:v>4</c:v>
                </c:pt>
                <c:pt idx="118">
                  <c:v>7</c:v>
                </c:pt>
                <c:pt idx="119">
                  <c:v>6</c:v>
                </c:pt>
                <c:pt idx="120">
                  <c:v>6</c:v>
                </c:pt>
                <c:pt idx="121">
                  <c:v>7</c:v>
                </c:pt>
                <c:pt idx="122">
                  <c:v>3</c:v>
                </c:pt>
                <c:pt idx="123">
                  <c:v>9</c:v>
                </c:pt>
                <c:pt idx="124">
                  <c:v>5</c:v>
                </c:pt>
                <c:pt idx="125">
                  <c:v>5</c:v>
                </c:pt>
                <c:pt idx="126">
                  <c:v>4</c:v>
                </c:pt>
                <c:pt idx="127">
                  <c:v>7</c:v>
                </c:pt>
                <c:pt idx="128">
                  <c:v>5</c:v>
                </c:pt>
                <c:pt idx="129">
                  <c:v>3</c:v>
                </c:pt>
                <c:pt idx="130">
                  <c:v>7</c:v>
                </c:pt>
                <c:pt idx="131">
                  <c:v>5</c:v>
                </c:pt>
                <c:pt idx="132">
                  <c:v>6</c:v>
                </c:pt>
                <c:pt idx="133">
                  <c:v>6</c:v>
                </c:pt>
                <c:pt idx="134">
                  <c:v>4</c:v>
                </c:pt>
                <c:pt idx="135">
                  <c:v>3</c:v>
                </c:pt>
                <c:pt idx="136">
                  <c:v>3</c:v>
                </c:pt>
                <c:pt idx="137">
                  <c:v>4</c:v>
                </c:pt>
                <c:pt idx="138">
                  <c:v>4</c:v>
                </c:pt>
                <c:pt idx="139">
                  <c:v>6</c:v>
                </c:pt>
                <c:pt idx="140">
                  <c:v>6</c:v>
                </c:pt>
                <c:pt idx="141">
                  <c:v>7</c:v>
                </c:pt>
                <c:pt idx="142">
                  <c:v>6</c:v>
                </c:pt>
                <c:pt idx="143">
                  <c:v>4</c:v>
                </c:pt>
                <c:pt idx="144">
                  <c:v>3</c:v>
                </c:pt>
                <c:pt idx="145">
                  <c:v>7</c:v>
                </c:pt>
                <c:pt idx="146">
                  <c:v>5</c:v>
                </c:pt>
                <c:pt idx="147">
                  <c:v>3</c:v>
                </c:pt>
                <c:pt idx="148">
                  <c:v>5</c:v>
                </c:pt>
                <c:pt idx="149">
                  <c:v>3</c:v>
                </c:pt>
                <c:pt idx="150">
                  <c:v>4</c:v>
                </c:pt>
                <c:pt idx="151">
                  <c:v>4</c:v>
                </c:pt>
                <c:pt idx="152">
                  <c:v>4</c:v>
                </c:pt>
                <c:pt idx="153">
                  <c:v>6</c:v>
                </c:pt>
                <c:pt idx="154">
                  <c:v>4</c:v>
                </c:pt>
                <c:pt idx="155">
                  <c:v>5</c:v>
                </c:pt>
                <c:pt idx="156">
                  <c:v>6</c:v>
                </c:pt>
                <c:pt idx="157">
                  <c:v>5</c:v>
                </c:pt>
                <c:pt idx="158">
                  <c:v>4</c:v>
                </c:pt>
                <c:pt idx="159">
                  <c:v>4</c:v>
                </c:pt>
                <c:pt idx="160">
                  <c:v>5</c:v>
                </c:pt>
                <c:pt idx="161">
                  <c:v>4</c:v>
                </c:pt>
                <c:pt idx="162">
                  <c:v>5</c:v>
                </c:pt>
                <c:pt idx="163">
                  <c:v>8</c:v>
                </c:pt>
                <c:pt idx="164">
                  <c:v>5</c:v>
                </c:pt>
                <c:pt idx="165">
                  <c:v>6</c:v>
                </c:pt>
                <c:pt idx="166">
                  <c:v>5</c:v>
                </c:pt>
                <c:pt idx="167">
                  <c:v>4</c:v>
                </c:pt>
                <c:pt idx="168">
                  <c:v>4</c:v>
                </c:pt>
                <c:pt idx="169">
                  <c:v>6</c:v>
                </c:pt>
                <c:pt idx="170">
                  <c:v>4</c:v>
                </c:pt>
                <c:pt idx="171">
                  <c:v>7</c:v>
                </c:pt>
                <c:pt idx="172">
                  <c:v>6</c:v>
                </c:pt>
                <c:pt idx="173">
                  <c:v>5</c:v>
                </c:pt>
                <c:pt idx="174">
                  <c:v>5</c:v>
                </c:pt>
                <c:pt idx="175">
                  <c:v>6</c:v>
                </c:pt>
                <c:pt idx="176">
                  <c:v>7</c:v>
                </c:pt>
                <c:pt idx="177">
                  <c:v>3</c:v>
                </c:pt>
                <c:pt idx="178">
                  <c:v>5</c:v>
                </c:pt>
                <c:pt idx="179">
                  <c:v>4</c:v>
                </c:pt>
                <c:pt idx="180">
                  <c:v>5</c:v>
                </c:pt>
                <c:pt idx="181">
                  <c:v>8</c:v>
                </c:pt>
                <c:pt idx="182">
                  <c:v>7</c:v>
                </c:pt>
                <c:pt idx="183">
                  <c:v>5</c:v>
                </c:pt>
                <c:pt idx="184">
                  <c:v>3</c:v>
                </c:pt>
                <c:pt idx="185">
                  <c:v>4</c:v>
                </c:pt>
                <c:pt idx="186">
                  <c:v>6</c:v>
                </c:pt>
                <c:pt idx="187">
                  <c:v>6</c:v>
                </c:pt>
                <c:pt idx="188">
                  <c:v>6</c:v>
                </c:pt>
                <c:pt idx="189">
                  <c:v>5</c:v>
                </c:pt>
                <c:pt idx="190">
                  <c:v>5</c:v>
                </c:pt>
                <c:pt idx="191">
                  <c:v>6</c:v>
                </c:pt>
                <c:pt idx="192">
                  <c:v>3</c:v>
                </c:pt>
                <c:pt idx="193">
                  <c:v>8</c:v>
                </c:pt>
                <c:pt idx="194">
                  <c:v>6</c:v>
                </c:pt>
                <c:pt idx="195">
                  <c:v>6</c:v>
                </c:pt>
                <c:pt idx="196">
                  <c:v>3</c:v>
                </c:pt>
                <c:pt idx="197">
                  <c:v>6</c:v>
                </c:pt>
                <c:pt idx="198">
                  <c:v>4</c:v>
                </c:pt>
                <c:pt idx="199">
                  <c:v>7</c:v>
                </c:pt>
                <c:pt idx="200">
                  <c:v>3</c:v>
                </c:pt>
                <c:pt idx="201">
                  <c:v>5</c:v>
                </c:pt>
                <c:pt idx="202">
                  <c:v>5</c:v>
                </c:pt>
                <c:pt idx="203">
                  <c:v>6</c:v>
                </c:pt>
                <c:pt idx="204">
                  <c:v>7</c:v>
                </c:pt>
                <c:pt idx="205">
                  <c:v>10</c:v>
                </c:pt>
                <c:pt idx="206">
                  <c:v>5</c:v>
                </c:pt>
                <c:pt idx="207">
                  <c:v>6</c:v>
                </c:pt>
                <c:pt idx="208">
                  <c:v>3</c:v>
                </c:pt>
                <c:pt idx="209">
                  <c:v>5</c:v>
                </c:pt>
                <c:pt idx="210">
                  <c:v>5</c:v>
                </c:pt>
                <c:pt idx="211">
                  <c:v>5</c:v>
                </c:pt>
                <c:pt idx="212">
                  <c:v>4</c:v>
                </c:pt>
                <c:pt idx="213">
                  <c:v>4</c:v>
                </c:pt>
                <c:pt idx="214">
                  <c:v>5</c:v>
                </c:pt>
                <c:pt idx="215">
                  <c:v>7</c:v>
                </c:pt>
                <c:pt idx="216">
                  <c:v>4</c:v>
                </c:pt>
                <c:pt idx="217">
                  <c:v>4</c:v>
                </c:pt>
                <c:pt idx="218">
                  <c:v>7</c:v>
                </c:pt>
                <c:pt idx="219">
                  <c:v>5</c:v>
                </c:pt>
                <c:pt idx="220">
                  <c:v>3</c:v>
                </c:pt>
                <c:pt idx="221">
                  <c:v>4</c:v>
                </c:pt>
                <c:pt idx="222">
                  <c:v>4</c:v>
                </c:pt>
                <c:pt idx="223">
                  <c:v>8</c:v>
                </c:pt>
                <c:pt idx="224">
                  <c:v>6</c:v>
                </c:pt>
                <c:pt idx="225">
                  <c:v>6</c:v>
                </c:pt>
                <c:pt idx="226">
                  <c:v>8</c:v>
                </c:pt>
                <c:pt idx="227">
                  <c:v>4</c:v>
                </c:pt>
                <c:pt idx="228">
                  <c:v>6</c:v>
                </c:pt>
                <c:pt idx="229">
                  <c:v>6</c:v>
                </c:pt>
                <c:pt idx="230">
                  <c:v>6</c:v>
                </c:pt>
                <c:pt idx="231">
                  <c:v>7</c:v>
                </c:pt>
                <c:pt idx="232">
                  <c:v>5</c:v>
                </c:pt>
                <c:pt idx="233">
                  <c:v>8</c:v>
                </c:pt>
                <c:pt idx="234">
                  <c:v>7</c:v>
                </c:pt>
                <c:pt idx="235">
                  <c:v>3</c:v>
                </c:pt>
                <c:pt idx="236">
                  <c:v>5</c:v>
                </c:pt>
                <c:pt idx="237">
                  <c:v>4</c:v>
                </c:pt>
                <c:pt idx="238">
                  <c:v>5</c:v>
                </c:pt>
                <c:pt idx="239">
                  <c:v>7</c:v>
                </c:pt>
                <c:pt idx="240">
                  <c:v>3</c:v>
                </c:pt>
                <c:pt idx="241">
                  <c:v>8</c:v>
                </c:pt>
                <c:pt idx="242">
                  <c:v>5</c:v>
                </c:pt>
                <c:pt idx="243">
                  <c:v>8</c:v>
                </c:pt>
                <c:pt idx="244">
                  <c:v>6</c:v>
                </c:pt>
                <c:pt idx="245">
                  <c:v>5</c:v>
                </c:pt>
                <c:pt idx="246">
                  <c:v>3</c:v>
                </c:pt>
                <c:pt idx="247">
                  <c:v>5</c:v>
                </c:pt>
                <c:pt idx="248">
                  <c:v>6</c:v>
                </c:pt>
                <c:pt idx="249">
                  <c:v>7</c:v>
                </c:pt>
                <c:pt idx="250">
                  <c:v>7</c:v>
                </c:pt>
                <c:pt idx="251">
                  <c:v>7</c:v>
                </c:pt>
                <c:pt idx="252">
                  <c:v>5</c:v>
                </c:pt>
                <c:pt idx="253">
                  <c:v>6</c:v>
                </c:pt>
                <c:pt idx="254">
                  <c:v>6</c:v>
                </c:pt>
                <c:pt idx="255">
                  <c:v>3</c:v>
                </c:pt>
                <c:pt idx="256">
                  <c:v>5</c:v>
                </c:pt>
                <c:pt idx="257">
                  <c:v>6</c:v>
                </c:pt>
                <c:pt idx="258">
                  <c:v>6</c:v>
                </c:pt>
                <c:pt idx="259">
                  <c:v>6</c:v>
                </c:pt>
                <c:pt idx="260">
                  <c:v>4</c:v>
                </c:pt>
                <c:pt idx="261">
                  <c:v>4</c:v>
                </c:pt>
                <c:pt idx="262">
                  <c:v>7</c:v>
                </c:pt>
                <c:pt idx="263">
                  <c:v>3</c:v>
                </c:pt>
                <c:pt idx="264">
                  <c:v>7</c:v>
                </c:pt>
                <c:pt idx="265">
                  <c:v>7</c:v>
                </c:pt>
                <c:pt idx="266">
                  <c:v>5</c:v>
                </c:pt>
                <c:pt idx="267">
                  <c:v>7</c:v>
                </c:pt>
                <c:pt idx="268">
                  <c:v>10</c:v>
                </c:pt>
                <c:pt idx="269">
                  <c:v>8</c:v>
                </c:pt>
                <c:pt idx="270">
                  <c:v>4</c:v>
                </c:pt>
                <c:pt idx="271">
                  <c:v>6</c:v>
                </c:pt>
                <c:pt idx="272">
                  <c:v>6</c:v>
                </c:pt>
                <c:pt idx="273">
                  <c:v>6</c:v>
                </c:pt>
                <c:pt idx="274">
                  <c:v>6</c:v>
                </c:pt>
                <c:pt idx="275">
                  <c:v>9</c:v>
                </c:pt>
                <c:pt idx="276">
                  <c:v>7</c:v>
                </c:pt>
                <c:pt idx="277">
                  <c:v>8</c:v>
                </c:pt>
                <c:pt idx="278">
                  <c:v>6</c:v>
                </c:pt>
                <c:pt idx="279">
                  <c:v>5</c:v>
                </c:pt>
                <c:pt idx="280">
                  <c:v>4</c:v>
                </c:pt>
                <c:pt idx="281">
                  <c:v>6</c:v>
                </c:pt>
                <c:pt idx="282">
                  <c:v>6</c:v>
                </c:pt>
                <c:pt idx="283">
                  <c:v>8</c:v>
                </c:pt>
                <c:pt idx="284">
                  <c:v>5</c:v>
                </c:pt>
                <c:pt idx="285">
                  <c:v>5</c:v>
                </c:pt>
                <c:pt idx="286">
                  <c:v>5</c:v>
                </c:pt>
                <c:pt idx="287">
                  <c:v>6</c:v>
                </c:pt>
                <c:pt idx="288">
                  <c:v>3</c:v>
                </c:pt>
                <c:pt idx="289">
                  <c:v>6</c:v>
                </c:pt>
                <c:pt idx="290">
                  <c:v>4</c:v>
                </c:pt>
                <c:pt idx="291">
                  <c:v>4</c:v>
                </c:pt>
                <c:pt idx="292">
                  <c:v>5</c:v>
                </c:pt>
                <c:pt idx="293">
                  <c:v>5</c:v>
                </c:pt>
                <c:pt idx="294">
                  <c:v>4</c:v>
                </c:pt>
                <c:pt idx="295">
                  <c:v>7</c:v>
                </c:pt>
                <c:pt idx="296">
                  <c:v>4</c:v>
                </c:pt>
                <c:pt idx="297">
                  <c:v>4</c:v>
                </c:pt>
                <c:pt idx="298">
                  <c:v>6</c:v>
                </c:pt>
                <c:pt idx="299">
                  <c:v>5</c:v>
                </c:pt>
                <c:pt idx="300">
                  <c:v>5</c:v>
                </c:pt>
                <c:pt idx="301">
                  <c:v>4</c:v>
                </c:pt>
                <c:pt idx="302">
                  <c:v>4</c:v>
                </c:pt>
                <c:pt idx="303">
                  <c:v>4</c:v>
                </c:pt>
                <c:pt idx="304">
                  <c:v>5</c:v>
                </c:pt>
                <c:pt idx="305">
                  <c:v>7</c:v>
                </c:pt>
                <c:pt idx="306">
                  <c:v>5</c:v>
                </c:pt>
                <c:pt idx="307">
                  <c:v>3</c:v>
                </c:pt>
                <c:pt idx="308">
                  <c:v>6</c:v>
                </c:pt>
                <c:pt idx="309">
                  <c:v>7</c:v>
                </c:pt>
                <c:pt idx="310">
                  <c:v>4</c:v>
                </c:pt>
                <c:pt idx="311">
                  <c:v>6</c:v>
                </c:pt>
                <c:pt idx="312">
                  <c:v>4</c:v>
                </c:pt>
                <c:pt idx="313">
                  <c:v>7</c:v>
                </c:pt>
                <c:pt idx="314">
                  <c:v>5</c:v>
                </c:pt>
                <c:pt idx="315">
                  <c:v>5</c:v>
                </c:pt>
                <c:pt idx="316">
                  <c:v>5</c:v>
                </c:pt>
                <c:pt idx="317">
                  <c:v>6</c:v>
                </c:pt>
                <c:pt idx="318">
                  <c:v>4</c:v>
                </c:pt>
                <c:pt idx="319">
                  <c:v>5</c:v>
                </c:pt>
                <c:pt idx="320">
                  <c:v>4</c:v>
                </c:pt>
                <c:pt idx="321">
                  <c:v>5</c:v>
                </c:pt>
                <c:pt idx="322">
                  <c:v>6</c:v>
                </c:pt>
                <c:pt idx="323">
                  <c:v>3</c:v>
                </c:pt>
                <c:pt idx="324">
                  <c:v>5</c:v>
                </c:pt>
                <c:pt idx="325">
                  <c:v>5</c:v>
                </c:pt>
                <c:pt idx="326">
                  <c:v>4</c:v>
                </c:pt>
                <c:pt idx="327">
                  <c:v>4</c:v>
                </c:pt>
                <c:pt idx="328">
                  <c:v>5</c:v>
                </c:pt>
                <c:pt idx="329">
                  <c:v>5</c:v>
                </c:pt>
                <c:pt idx="330">
                  <c:v>6</c:v>
                </c:pt>
                <c:pt idx="331">
                  <c:v>4</c:v>
                </c:pt>
                <c:pt idx="332">
                  <c:v>4</c:v>
                </c:pt>
                <c:pt idx="333">
                  <c:v>4</c:v>
                </c:pt>
                <c:pt idx="334">
                  <c:v>8</c:v>
                </c:pt>
                <c:pt idx="335">
                  <c:v>6</c:v>
                </c:pt>
                <c:pt idx="336">
                  <c:v>7</c:v>
                </c:pt>
                <c:pt idx="337">
                  <c:v>6</c:v>
                </c:pt>
                <c:pt idx="338">
                  <c:v>5</c:v>
                </c:pt>
                <c:pt idx="339">
                  <c:v>8</c:v>
                </c:pt>
                <c:pt idx="340">
                  <c:v>5</c:v>
                </c:pt>
                <c:pt idx="341">
                  <c:v>3</c:v>
                </c:pt>
                <c:pt idx="342">
                  <c:v>7</c:v>
                </c:pt>
                <c:pt idx="343">
                  <c:v>6</c:v>
                </c:pt>
                <c:pt idx="344">
                  <c:v>6</c:v>
                </c:pt>
                <c:pt idx="345">
                  <c:v>8</c:v>
                </c:pt>
                <c:pt idx="346">
                  <c:v>7</c:v>
                </c:pt>
                <c:pt idx="347">
                  <c:v>6</c:v>
                </c:pt>
                <c:pt idx="348">
                  <c:v>3</c:v>
                </c:pt>
                <c:pt idx="349">
                  <c:v>5</c:v>
                </c:pt>
                <c:pt idx="350">
                  <c:v>5</c:v>
                </c:pt>
                <c:pt idx="351">
                  <c:v>4</c:v>
                </c:pt>
                <c:pt idx="352">
                  <c:v>4</c:v>
                </c:pt>
                <c:pt idx="353">
                  <c:v>3</c:v>
                </c:pt>
                <c:pt idx="354">
                  <c:v>5</c:v>
                </c:pt>
                <c:pt idx="355">
                  <c:v>5</c:v>
                </c:pt>
                <c:pt idx="356">
                  <c:v>8</c:v>
                </c:pt>
                <c:pt idx="357">
                  <c:v>7</c:v>
                </c:pt>
                <c:pt idx="358">
                  <c:v>4</c:v>
                </c:pt>
                <c:pt idx="359">
                  <c:v>4</c:v>
                </c:pt>
                <c:pt idx="360">
                  <c:v>3</c:v>
                </c:pt>
                <c:pt idx="361">
                  <c:v>4</c:v>
                </c:pt>
                <c:pt idx="362">
                  <c:v>6</c:v>
                </c:pt>
                <c:pt idx="363">
                  <c:v>4</c:v>
                </c:pt>
                <c:pt idx="364">
                  <c:v>6</c:v>
                </c:pt>
                <c:pt idx="365">
                  <c:v>4</c:v>
                </c:pt>
                <c:pt idx="366">
                  <c:v>7</c:v>
                </c:pt>
                <c:pt idx="367">
                  <c:v>4</c:v>
                </c:pt>
                <c:pt idx="368">
                  <c:v>8</c:v>
                </c:pt>
                <c:pt idx="369">
                  <c:v>6</c:v>
                </c:pt>
                <c:pt idx="370">
                  <c:v>7</c:v>
                </c:pt>
                <c:pt idx="371">
                  <c:v>7</c:v>
                </c:pt>
                <c:pt idx="372">
                  <c:v>6</c:v>
                </c:pt>
                <c:pt idx="373">
                  <c:v>6</c:v>
                </c:pt>
                <c:pt idx="374">
                  <c:v>4</c:v>
                </c:pt>
                <c:pt idx="375">
                  <c:v>5</c:v>
                </c:pt>
                <c:pt idx="376">
                  <c:v>3</c:v>
                </c:pt>
                <c:pt idx="377">
                  <c:v>6</c:v>
                </c:pt>
                <c:pt idx="378">
                  <c:v>3</c:v>
                </c:pt>
                <c:pt idx="379">
                  <c:v>7</c:v>
                </c:pt>
                <c:pt idx="380">
                  <c:v>7</c:v>
                </c:pt>
                <c:pt idx="381">
                  <c:v>6</c:v>
                </c:pt>
                <c:pt idx="382">
                  <c:v>3</c:v>
                </c:pt>
                <c:pt idx="383">
                  <c:v>4</c:v>
                </c:pt>
                <c:pt idx="384">
                  <c:v>7</c:v>
                </c:pt>
                <c:pt idx="385">
                  <c:v>5</c:v>
                </c:pt>
                <c:pt idx="386">
                  <c:v>6</c:v>
                </c:pt>
                <c:pt idx="387">
                  <c:v>6</c:v>
                </c:pt>
                <c:pt idx="388">
                  <c:v>6</c:v>
                </c:pt>
                <c:pt idx="389">
                  <c:v>5</c:v>
                </c:pt>
                <c:pt idx="390">
                  <c:v>6</c:v>
                </c:pt>
                <c:pt idx="391">
                  <c:v>4</c:v>
                </c:pt>
                <c:pt idx="392">
                  <c:v>4</c:v>
                </c:pt>
                <c:pt idx="393">
                  <c:v>6</c:v>
                </c:pt>
                <c:pt idx="394">
                  <c:v>8</c:v>
                </c:pt>
                <c:pt idx="395">
                  <c:v>5</c:v>
                </c:pt>
                <c:pt idx="396">
                  <c:v>4</c:v>
                </c:pt>
                <c:pt idx="397">
                  <c:v>6</c:v>
                </c:pt>
                <c:pt idx="398">
                  <c:v>4</c:v>
                </c:pt>
                <c:pt idx="399">
                  <c:v>5</c:v>
                </c:pt>
                <c:pt idx="400">
                  <c:v>3</c:v>
                </c:pt>
                <c:pt idx="401">
                  <c:v>6</c:v>
                </c:pt>
                <c:pt idx="402">
                  <c:v>5</c:v>
                </c:pt>
                <c:pt idx="403">
                  <c:v>6</c:v>
                </c:pt>
                <c:pt idx="404">
                  <c:v>7</c:v>
                </c:pt>
                <c:pt idx="405">
                  <c:v>5</c:v>
                </c:pt>
                <c:pt idx="406">
                  <c:v>5</c:v>
                </c:pt>
                <c:pt idx="407">
                  <c:v>5</c:v>
                </c:pt>
                <c:pt idx="408">
                  <c:v>5</c:v>
                </c:pt>
                <c:pt idx="409">
                  <c:v>6</c:v>
                </c:pt>
                <c:pt idx="410">
                  <c:v>5</c:v>
                </c:pt>
                <c:pt idx="411">
                  <c:v>4</c:v>
                </c:pt>
                <c:pt idx="412">
                  <c:v>5</c:v>
                </c:pt>
                <c:pt idx="413">
                  <c:v>5</c:v>
                </c:pt>
                <c:pt idx="414">
                  <c:v>4</c:v>
                </c:pt>
                <c:pt idx="415">
                  <c:v>6</c:v>
                </c:pt>
                <c:pt idx="416">
                  <c:v>6</c:v>
                </c:pt>
                <c:pt idx="417">
                  <c:v>4</c:v>
                </c:pt>
                <c:pt idx="418">
                  <c:v>4</c:v>
                </c:pt>
                <c:pt idx="419">
                  <c:v>5</c:v>
                </c:pt>
                <c:pt idx="420">
                  <c:v>6</c:v>
                </c:pt>
                <c:pt idx="421">
                  <c:v>7</c:v>
                </c:pt>
                <c:pt idx="422">
                  <c:v>5</c:v>
                </c:pt>
                <c:pt idx="423">
                  <c:v>6</c:v>
                </c:pt>
                <c:pt idx="424">
                  <c:v>4</c:v>
                </c:pt>
                <c:pt idx="425">
                  <c:v>7</c:v>
                </c:pt>
                <c:pt idx="426">
                  <c:v>4</c:v>
                </c:pt>
                <c:pt idx="427">
                  <c:v>7</c:v>
                </c:pt>
                <c:pt idx="428">
                  <c:v>7</c:v>
                </c:pt>
                <c:pt idx="429">
                  <c:v>5</c:v>
                </c:pt>
                <c:pt idx="430">
                  <c:v>8</c:v>
                </c:pt>
                <c:pt idx="431">
                  <c:v>5</c:v>
                </c:pt>
                <c:pt idx="432">
                  <c:v>7</c:v>
                </c:pt>
                <c:pt idx="433">
                  <c:v>6</c:v>
                </c:pt>
                <c:pt idx="434">
                  <c:v>6</c:v>
                </c:pt>
                <c:pt idx="435">
                  <c:v>5</c:v>
                </c:pt>
                <c:pt idx="436">
                  <c:v>5</c:v>
                </c:pt>
                <c:pt idx="437">
                  <c:v>5</c:v>
                </c:pt>
                <c:pt idx="438">
                  <c:v>4</c:v>
                </c:pt>
                <c:pt idx="439">
                  <c:v>5</c:v>
                </c:pt>
                <c:pt idx="440">
                  <c:v>6</c:v>
                </c:pt>
                <c:pt idx="441">
                  <c:v>6</c:v>
                </c:pt>
                <c:pt idx="442">
                  <c:v>5</c:v>
                </c:pt>
                <c:pt idx="443">
                  <c:v>4</c:v>
                </c:pt>
                <c:pt idx="444">
                  <c:v>8</c:v>
                </c:pt>
                <c:pt idx="445">
                  <c:v>5</c:v>
                </c:pt>
                <c:pt idx="446">
                  <c:v>4</c:v>
                </c:pt>
                <c:pt idx="447">
                  <c:v>5</c:v>
                </c:pt>
                <c:pt idx="448">
                  <c:v>8</c:v>
                </c:pt>
                <c:pt idx="449">
                  <c:v>5</c:v>
                </c:pt>
                <c:pt idx="450">
                  <c:v>6</c:v>
                </c:pt>
                <c:pt idx="451">
                  <c:v>5</c:v>
                </c:pt>
                <c:pt idx="452">
                  <c:v>3</c:v>
                </c:pt>
                <c:pt idx="453">
                  <c:v>6</c:v>
                </c:pt>
                <c:pt idx="454">
                  <c:v>4</c:v>
                </c:pt>
                <c:pt idx="455">
                  <c:v>6</c:v>
                </c:pt>
                <c:pt idx="456">
                  <c:v>6</c:v>
                </c:pt>
                <c:pt idx="457">
                  <c:v>4</c:v>
                </c:pt>
                <c:pt idx="458">
                  <c:v>7</c:v>
                </c:pt>
                <c:pt idx="459">
                  <c:v>6</c:v>
                </c:pt>
                <c:pt idx="460">
                  <c:v>10</c:v>
                </c:pt>
                <c:pt idx="461">
                  <c:v>5</c:v>
                </c:pt>
                <c:pt idx="462">
                  <c:v>5</c:v>
                </c:pt>
                <c:pt idx="463">
                  <c:v>5</c:v>
                </c:pt>
                <c:pt idx="464">
                  <c:v>3</c:v>
                </c:pt>
                <c:pt idx="465">
                  <c:v>5</c:v>
                </c:pt>
                <c:pt idx="466">
                  <c:v>5</c:v>
                </c:pt>
                <c:pt idx="467">
                  <c:v>6</c:v>
                </c:pt>
                <c:pt idx="468">
                  <c:v>5</c:v>
                </c:pt>
                <c:pt idx="469">
                  <c:v>7</c:v>
                </c:pt>
                <c:pt idx="470">
                  <c:v>5</c:v>
                </c:pt>
                <c:pt idx="471">
                  <c:v>5</c:v>
                </c:pt>
                <c:pt idx="472">
                  <c:v>6</c:v>
                </c:pt>
                <c:pt idx="473">
                  <c:v>8</c:v>
                </c:pt>
                <c:pt idx="474">
                  <c:v>6</c:v>
                </c:pt>
                <c:pt idx="475">
                  <c:v>5</c:v>
                </c:pt>
                <c:pt idx="476">
                  <c:v>7</c:v>
                </c:pt>
                <c:pt idx="477">
                  <c:v>4</c:v>
                </c:pt>
                <c:pt idx="478">
                  <c:v>8</c:v>
                </c:pt>
                <c:pt idx="479">
                  <c:v>9</c:v>
                </c:pt>
                <c:pt idx="480">
                  <c:v>5</c:v>
                </c:pt>
                <c:pt idx="481">
                  <c:v>4</c:v>
                </c:pt>
                <c:pt idx="482">
                  <c:v>9</c:v>
                </c:pt>
                <c:pt idx="483">
                  <c:v>8</c:v>
                </c:pt>
                <c:pt idx="484">
                  <c:v>6</c:v>
                </c:pt>
                <c:pt idx="485">
                  <c:v>7</c:v>
                </c:pt>
                <c:pt idx="486">
                  <c:v>7</c:v>
                </c:pt>
                <c:pt idx="487">
                  <c:v>3</c:v>
                </c:pt>
                <c:pt idx="488">
                  <c:v>7</c:v>
                </c:pt>
                <c:pt idx="489">
                  <c:v>5</c:v>
                </c:pt>
                <c:pt idx="490">
                  <c:v>5</c:v>
                </c:pt>
                <c:pt idx="491">
                  <c:v>3</c:v>
                </c:pt>
                <c:pt idx="492">
                  <c:v>4</c:v>
                </c:pt>
                <c:pt idx="493">
                  <c:v>5</c:v>
                </c:pt>
                <c:pt idx="494">
                  <c:v>6</c:v>
                </c:pt>
                <c:pt idx="495">
                  <c:v>4</c:v>
                </c:pt>
                <c:pt idx="496">
                  <c:v>4</c:v>
                </c:pt>
                <c:pt idx="497">
                  <c:v>5</c:v>
                </c:pt>
                <c:pt idx="498">
                  <c:v>6</c:v>
                </c:pt>
                <c:pt idx="499">
                  <c:v>7</c:v>
                </c:pt>
              </c:numCache>
            </c:numRef>
          </c:yVal>
          <c:smooth val="0"/>
          <c:extLst>
            <c:ext xmlns:c16="http://schemas.microsoft.com/office/drawing/2014/chart" uri="{C3380CC4-5D6E-409C-BE32-E72D297353CC}">
              <c16:uniqueId val="{00000001-5CBB-475C-88FB-D2BC6C981255}"/>
            </c:ext>
          </c:extLst>
        </c:ser>
        <c:ser>
          <c:idx val="1"/>
          <c:order val="1"/>
          <c:tx>
            <c:v>Predicted Y Lead Time (days)</c:v>
          </c:tx>
          <c:spPr>
            <a:ln w="19050">
              <a:noFill/>
            </a:ln>
          </c:spPr>
          <c:xVal>
            <c:numRef>
              <c:f>Regression!$B$4:$B$503</c:f>
              <c:numCache>
                <c:formatCode>General</c:formatCode>
                <c:ptCount val="500"/>
                <c:pt idx="0">
                  <c:v>38</c:v>
                </c:pt>
                <c:pt idx="1">
                  <c:v>51</c:v>
                </c:pt>
                <c:pt idx="2">
                  <c:v>23</c:v>
                </c:pt>
                <c:pt idx="3">
                  <c:v>46</c:v>
                </c:pt>
                <c:pt idx="4">
                  <c:v>49</c:v>
                </c:pt>
                <c:pt idx="5">
                  <c:v>36</c:v>
                </c:pt>
                <c:pt idx="6">
                  <c:v>84</c:v>
                </c:pt>
                <c:pt idx="7">
                  <c:v>37</c:v>
                </c:pt>
                <c:pt idx="8">
                  <c:v>52</c:v>
                </c:pt>
                <c:pt idx="9">
                  <c:v>53</c:v>
                </c:pt>
                <c:pt idx="10">
                  <c:v>24</c:v>
                </c:pt>
                <c:pt idx="11">
                  <c:v>35</c:v>
                </c:pt>
                <c:pt idx="12">
                  <c:v>28</c:v>
                </c:pt>
                <c:pt idx="13">
                  <c:v>26</c:v>
                </c:pt>
                <c:pt idx="14">
                  <c:v>43</c:v>
                </c:pt>
                <c:pt idx="15">
                  <c:v>51</c:v>
                </c:pt>
                <c:pt idx="16">
                  <c:v>63</c:v>
                </c:pt>
                <c:pt idx="17">
                  <c:v>59</c:v>
                </c:pt>
                <c:pt idx="18">
                  <c:v>53</c:v>
                </c:pt>
                <c:pt idx="19">
                  <c:v>55</c:v>
                </c:pt>
                <c:pt idx="20">
                  <c:v>71</c:v>
                </c:pt>
                <c:pt idx="21">
                  <c:v>33</c:v>
                </c:pt>
                <c:pt idx="22">
                  <c:v>56</c:v>
                </c:pt>
                <c:pt idx="23">
                  <c:v>45</c:v>
                </c:pt>
                <c:pt idx="24">
                  <c:v>24</c:v>
                </c:pt>
                <c:pt idx="25">
                  <c:v>36</c:v>
                </c:pt>
                <c:pt idx="26">
                  <c:v>65</c:v>
                </c:pt>
                <c:pt idx="27">
                  <c:v>43</c:v>
                </c:pt>
                <c:pt idx="28">
                  <c:v>24</c:v>
                </c:pt>
                <c:pt idx="29">
                  <c:v>56</c:v>
                </c:pt>
                <c:pt idx="30">
                  <c:v>25</c:v>
                </c:pt>
                <c:pt idx="31">
                  <c:v>92</c:v>
                </c:pt>
                <c:pt idx="32">
                  <c:v>39</c:v>
                </c:pt>
                <c:pt idx="33">
                  <c:v>18</c:v>
                </c:pt>
                <c:pt idx="34">
                  <c:v>31</c:v>
                </c:pt>
                <c:pt idx="35">
                  <c:v>47</c:v>
                </c:pt>
                <c:pt idx="36">
                  <c:v>142</c:v>
                </c:pt>
                <c:pt idx="37">
                  <c:v>46</c:v>
                </c:pt>
                <c:pt idx="38">
                  <c:v>53</c:v>
                </c:pt>
                <c:pt idx="39">
                  <c:v>55</c:v>
                </c:pt>
                <c:pt idx="40">
                  <c:v>67</c:v>
                </c:pt>
                <c:pt idx="41">
                  <c:v>35</c:v>
                </c:pt>
                <c:pt idx="42">
                  <c:v>27</c:v>
                </c:pt>
                <c:pt idx="43">
                  <c:v>16</c:v>
                </c:pt>
                <c:pt idx="44">
                  <c:v>21</c:v>
                </c:pt>
                <c:pt idx="45">
                  <c:v>69</c:v>
                </c:pt>
                <c:pt idx="46">
                  <c:v>30</c:v>
                </c:pt>
                <c:pt idx="47">
                  <c:v>95</c:v>
                </c:pt>
                <c:pt idx="48">
                  <c:v>28</c:v>
                </c:pt>
                <c:pt idx="49">
                  <c:v>46</c:v>
                </c:pt>
                <c:pt idx="50">
                  <c:v>72</c:v>
                </c:pt>
                <c:pt idx="51">
                  <c:v>53</c:v>
                </c:pt>
                <c:pt idx="52">
                  <c:v>59</c:v>
                </c:pt>
                <c:pt idx="53">
                  <c:v>23</c:v>
                </c:pt>
                <c:pt idx="54">
                  <c:v>27</c:v>
                </c:pt>
                <c:pt idx="55">
                  <c:v>41</c:v>
                </c:pt>
                <c:pt idx="56">
                  <c:v>62</c:v>
                </c:pt>
                <c:pt idx="57">
                  <c:v>44</c:v>
                </c:pt>
                <c:pt idx="58">
                  <c:v>45</c:v>
                </c:pt>
                <c:pt idx="59">
                  <c:v>18</c:v>
                </c:pt>
                <c:pt idx="60">
                  <c:v>36</c:v>
                </c:pt>
                <c:pt idx="61">
                  <c:v>18</c:v>
                </c:pt>
                <c:pt idx="62">
                  <c:v>105</c:v>
                </c:pt>
                <c:pt idx="63">
                  <c:v>51</c:v>
                </c:pt>
                <c:pt idx="64">
                  <c:v>62</c:v>
                </c:pt>
                <c:pt idx="65">
                  <c:v>64</c:v>
                </c:pt>
                <c:pt idx="66">
                  <c:v>45</c:v>
                </c:pt>
                <c:pt idx="67">
                  <c:v>59</c:v>
                </c:pt>
                <c:pt idx="68">
                  <c:v>18</c:v>
                </c:pt>
                <c:pt idx="69">
                  <c:v>51</c:v>
                </c:pt>
                <c:pt idx="70">
                  <c:v>64</c:v>
                </c:pt>
                <c:pt idx="71">
                  <c:v>45</c:v>
                </c:pt>
                <c:pt idx="72">
                  <c:v>35</c:v>
                </c:pt>
                <c:pt idx="73">
                  <c:v>32</c:v>
                </c:pt>
                <c:pt idx="74">
                  <c:v>37</c:v>
                </c:pt>
                <c:pt idx="75">
                  <c:v>42</c:v>
                </c:pt>
                <c:pt idx="76">
                  <c:v>54</c:v>
                </c:pt>
                <c:pt idx="77">
                  <c:v>70</c:v>
                </c:pt>
                <c:pt idx="78">
                  <c:v>68</c:v>
                </c:pt>
                <c:pt idx="79">
                  <c:v>42</c:v>
                </c:pt>
                <c:pt idx="80">
                  <c:v>83</c:v>
                </c:pt>
                <c:pt idx="81">
                  <c:v>55</c:v>
                </c:pt>
                <c:pt idx="82">
                  <c:v>38</c:v>
                </c:pt>
                <c:pt idx="83">
                  <c:v>37</c:v>
                </c:pt>
                <c:pt idx="84">
                  <c:v>45</c:v>
                </c:pt>
                <c:pt idx="85">
                  <c:v>70</c:v>
                </c:pt>
                <c:pt idx="86">
                  <c:v>39</c:v>
                </c:pt>
                <c:pt idx="87">
                  <c:v>17</c:v>
                </c:pt>
                <c:pt idx="88">
                  <c:v>52</c:v>
                </c:pt>
                <c:pt idx="89">
                  <c:v>63</c:v>
                </c:pt>
                <c:pt idx="90">
                  <c:v>59</c:v>
                </c:pt>
                <c:pt idx="91">
                  <c:v>56</c:v>
                </c:pt>
                <c:pt idx="92">
                  <c:v>31</c:v>
                </c:pt>
                <c:pt idx="93">
                  <c:v>78</c:v>
                </c:pt>
                <c:pt idx="94">
                  <c:v>27</c:v>
                </c:pt>
                <c:pt idx="95">
                  <c:v>72</c:v>
                </c:pt>
                <c:pt idx="96">
                  <c:v>70</c:v>
                </c:pt>
                <c:pt idx="97">
                  <c:v>47</c:v>
                </c:pt>
                <c:pt idx="98">
                  <c:v>72</c:v>
                </c:pt>
                <c:pt idx="99">
                  <c:v>55</c:v>
                </c:pt>
                <c:pt idx="100">
                  <c:v>74</c:v>
                </c:pt>
                <c:pt idx="101">
                  <c:v>87</c:v>
                </c:pt>
                <c:pt idx="102">
                  <c:v>15</c:v>
                </c:pt>
                <c:pt idx="103">
                  <c:v>60</c:v>
                </c:pt>
                <c:pt idx="104">
                  <c:v>41</c:v>
                </c:pt>
                <c:pt idx="105">
                  <c:v>35</c:v>
                </c:pt>
                <c:pt idx="106">
                  <c:v>24</c:v>
                </c:pt>
                <c:pt idx="107">
                  <c:v>48</c:v>
                </c:pt>
                <c:pt idx="108">
                  <c:v>73</c:v>
                </c:pt>
                <c:pt idx="109">
                  <c:v>17</c:v>
                </c:pt>
                <c:pt idx="110">
                  <c:v>60</c:v>
                </c:pt>
                <c:pt idx="111">
                  <c:v>48</c:v>
                </c:pt>
                <c:pt idx="112">
                  <c:v>55</c:v>
                </c:pt>
                <c:pt idx="113">
                  <c:v>71</c:v>
                </c:pt>
                <c:pt idx="114">
                  <c:v>39</c:v>
                </c:pt>
                <c:pt idx="115">
                  <c:v>41</c:v>
                </c:pt>
                <c:pt idx="116">
                  <c:v>53</c:v>
                </c:pt>
                <c:pt idx="117">
                  <c:v>61</c:v>
                </c:pt>
                <c:pt idx="118">
                  <c:v>55</c:v>
                </c:pt>
                <c:pt idx="119">
                  <c:v>84</c:v>
                </c:pt>
                <c:pt idx="120">
                  <c:v>40</c:v>
                </c:pt>
                <c:pt idx="121">
                  <c:v>48</c:v>
                </c:pt>
                <c:pt idx="122">
                  <c:v>43</c:v>
                </c:pt>
                <c:pt idx="123">
                  <c:v>47</c:v>
                </c:pt>
                <c:pt idx="124">
                  <c:v>51</c:v>
                </c:pt>
                <c:pt idx="125">
                  <c:v>54</c:v>
                </c:pt>
                <c:pt idx="126">
                  <c:v>45</c:v>
                </c:pt>
                <c:pt idx="127">
                  <c:v>25</c:v>
                </c:pt>
                <c:pt idx="128">
                  <c:v>52</c:v>
                </c:pt>
                <c:pt idx="129">
                  <c:v>27</c:v>
                </c:pt>
                <c:pt idx="130">
                  <c:v>35</c:v>
                </c:pt>
                <c:pt idx="131">
                  <c:v>37</c:v>
                </c:pt>
                <c:pt idx="132">
                  <c:v>31</c:v>
                </c:pt>
                <c:pt idx="133">
                  <c:v>17</c:v>
                </c:pt>
                <c:pt idx="134">
                  <c:v>61</c:v>
                </c:pt>
                <c:pt idx="135">
                  <c:v>44</c:v>
                </c:pt>
                <c:pt idx="136">
                  <c:v>45</c:v>
                </c:pt>
                <c:pt idx="137">
                  <c:v>27</c:v>
                </c:pt>
                <c:pt idx="138">
                  <c:v>47</c:v>
                </c:pt>
                <c:pt idx="139">
                  <c:v>33</c:v>
                </c:pt>
                <c:pt idx="140">
                  <c:v>65</c:v>
                </c:pt>
                <c:pt idx="141">
                  <c:v>69</c:v>
                </c:pt>
                <c:pt idx="142">
                  <c:v>17</c:v>
                </c:pt>
                <c:pt idx="143">
                  <c:v>56</c:v>
                </c:pt>
                <c:pt idx="144">
                  <c:v>95</c:v>
                </c:pt>
                <c:pt idx="145">
                  <c:v>52</c:v>
                </c:pt>
                <c:pt idx="146">
                  <c:v>43</c:v>
                </c:pt>
                <c:pt idx="147">
                  <c:v>45</c:v>
                </c:pt>
                <c:pt idx="148">
                  <c:v>83</c:v>
                </c:pt>
                <c:pt idx="149">
                  <c:v>80</c:v>
                </c:pt>
                <c:pt idx="150">
                  <c:v>30</c:v>
                </c:pt>
                <c:pt idx="151">
                  <c:v>70</c:v>
                </c:pt>
                <c:pt idx="152">
                  <c:v>50</c:v>
                </c:pt>
                <c:pt idx="153">
                  <c:v>76</c:v>
                </c:pt>
                <c:pt idx="154">
                  <c:v>75</c:v>
                </c:pt>
                <c:pt idx="155">
                  <c:v>23</c:v>
                </c:pt>
                <c:pt idx="156">
                  <c:v>79</c:v>
                </c:pt>
                <c:pt idx="157">
                  <c:v>57</c:v>
                </c:pt>
                <c:pt idx="158">
                  <c:v>21</c:v>
                </c:pt>
                <c:pt idx="159">
                  <c:v>70</c:v>
                </c:pt>
                <c:pt idx="160">
                  <c:v>71</c:v>
                </c:pt>
                <c:pt idx="161">
                  <c:v>33</c:v>
                </c:pt>
                <c:pt idx="162">
                  <c:v>24</c:v>
                </c:pt>
                <c:pt idx="163">
                  <c:v>45</c:v>
                </c:pt>
                <c:pt idx="164">
                  <c:v>79</c:v>
                </c:pt>
                <c:pt idx="165">
                  <c:v>38</c:v>
                </c:pt>
                <c:pt idx="166">
                  <c:v>55</c:v>
                </c:pt>
                <c:pt idx="167">
                  <c:v>71</c:v>
                </c:pt>
                <c:pt idx="168">
                  <c:v>27</c:v>
                </c:pt>
                <c:pt idx="169">
                  <c:v>60</c:v>
                </c:pt>
                <c:pt idx="170">
                  <c:v>60</c:v>
                </c:pt>
                <c:pt idx="171">
                  <c:v>49</c:v>
                </c:pt>
                <c:pt idx="172">
                  <c:v>38</c:v>
                </c:pt>
                <c:pt idx="173">
                  <c:v>25</c:v>
                </c:pt>
                <c:pt idx="174">
                  <c:v>39</c:v>
                </c:pt>
                <c:pt idx="175">
                  <c:v>51</c:v>
                </c:pt>
                <c:pt idx="176">
                  <c:v>44</c:v>
                </c:pt>
                <c:pt idx="177">
                  <c:v>60</c:v>
                </c:pt>
                <c:pt idx="178">
                  <c:v>20</c:v>
                </c:pt>
                <c:pt idx="179">
                  <c:v>32</c:v>
                </c:pt>
                <c:pt idx="180">
                  <c:v>26</c:v>
                </c:pt>
                <c:pt idx="181">
                  <c:v>91</c:v>
                </c:pt>
                <c:pt idx="182">
                  <c:v>72</c:v>
                </c:pt>
                <c:pt idx="183">
                  <c:v>49</c:v>
                </c:pt>
                <c:pt idx="184">
                  <c:v>37</c:v>
                </c:pt>
                <c:pt idx="185">
                  <c:v>36</c:v>
                </c:pt>
                <c:pt idx="186">
                  <c:v>39</c:v>
                </c:pt>
                <c:pt idx="187">
                  <c:v>88</c:v>
                </c:pt>
                <c:pt idx="188">
                  <c:v>66</c:v>
                </c:pt>
                <c:pt idx="189">
                  <c:v>73</c:v>
                </c:pt>
                <c:pt idx="190">
                  <c:v>64</c:v>
                </c:pt>
                <c:pt idx="191">
                  <c:v>47</c:v>
                </c:pt>
                <c:pt idx="192">
                  <c:v>45</c:v>
                </c:pt>
                <c:pt idx="193">
                  <c:v>51</c:v>
                </c:pt>
                <c:pt idx="194">
                  <c:v>42</c:v>
                </c:pt>
                <c:pt idx="195">
                  <c:v>93</c:v>
                </c:pt>
                <c:pt idx="196">
                  <c:v>66</c:v>
                </c:pt>
                <c:pt idx="197">
                  <c:v>55</c:v>
                </c:pt>
                <c:pt idx="198">
                  <c:v>52</c:v>
                </c:pt>
                <c:pt idx="199">
                  <c:v>74</c:v>
                </c:pt>
                <c:pt idx="200">
                  <c:v>8</c:v>
                </c:pt>
                <c:pt idx="201">
                  <c:v>45</c:v>
                </c:pt>
                <c:pt idx="202">
                  <c:v>51</c:v>
                </c:pt>
                <c:pt idx="203">
                  <c:v>23</c:v>
                </c:pt>
                <c:pt idx="204">
                  <c:v>79</c:v>
                </c:pt>
                <c:pt idx="205">
                  <c:v>38</c:v>
                </c:pt>
                <c:pt idx="206">
                  <c:v>46</c:v>
                </c:pt>
                <c:pt idx="207">
                  <c:v>31</c:v>
                </c:pt>
                <c:pt idx="208">
                  <c:v>29</c:v>
                </c:pt>
                <c:pt idx="209">
                  <c:v>85</c:v>
                </c:pt>
                <c:pt idx="210">
                  <c:v>105</c:v>
                </c:pt>
                <c:pt idx="211">
                  <c:v>28</c:v>
                </c:pt>
                <c:pt idx="212">
                  <c:v>82</c:v>
                </c:pt>
                <c:pt idx="213">
                  <c:v>43</c:v>
                </c:pt>
                <c:pt idx="214">
                  <c:v>64</c:v>
                </c:pt>
                <c:pt idx="215">
                  <c:v>85</c:v>
                </c:pt>
                <c:pt idx="216">
                  <c:v>35</c:v>
                </c:pt>
                <c:pt idx="217">
                  <c:v>71</c:v>
                </c:pt>
                <c:pt idx="218">
                  <c:v>33</c:v>
                </c:pt>
                <c:pt idx="219">
                  <c:v>80</c:v>
                </c:pt>
                <c:pt idx="220">
                  <c:v>35</c:v>
                </c:pt>
                <c:pt idx="221">
                  <c:v>54</c:v>
                </c:pt>
                <c:pt idx="222">
                  <c:v>39</c:v>
                </c:pt>
                <c:pt idx="223">
                  <c:v>66</c:v>
                </c:pt>
                <c:pt idx="224">
                  <c:v>25</c:v>
                </c:pt>
                <c:pt idx="225">
                  <c:v>61</c:v>
                </c:pt>
                <c:pt idx="226">
                  <c:v>133</c:v>
                </c:pt>
                <c:pt idx="227">
                  <c:v>65</c:v>
                </c:pt>
                <c:pt idx="228">
                  <c:v>49</c:v>
                </c:pt>
                <c:pt idx="229">
                  <c:v>62</c:v>
                </c:pt>
                <c:pt idx="230">
                  <c:v>43</c:v>
                </c:pt>
                <c:pt idx="231">
                  <c:v>94</c:v>
                </c:pt>
                <c:pt idx="232">
                  <c:v>118</c:v>
                </c:pt>
                <c:pt idx="233">
                  <c:v>56</c:v>
                </c:pt>
                <c:pt idx="234">
                  <c:v>34</c:v>
                </c:pt>
                <c:pt idx="235">
                  <c:v>85</c:v>
                </c:pt>
                <c:pt idx="236">
                  <c:v>29</c:v>
                </c:pt>
                <c:pt idx="237">
                  <c:v>56</c:v>
                </c:pt>
                <c:pt idx="238">
                  <c:v>44</c:v>
                </c:pt>
                <c:pt idx="239">
                  <c:v>82</c:v>
                </c:pt>
                <c:pt idx="240">
                  <c:v>54</c:v>
                </c:pt>
                <c:pt idx="241">
                  <c:v>37</c:v>
                </c:pt>
                <c:pt idx="242">
                  <c:v>24</c:v>
                </c:pt>
                <c:pt idx="243">
                  <c:v>117</c:v>
                </c:pt>
                <c:pt idx="244">
                  <c:v>90</c:v>
                </c:pt>
                <c:pt idx="245">
                  <c:v>20</c:v>
                </c:pt>
                <c:pt idx="246">
                  <c:v>50</c:v>
                </c:pt>
                <c:pt idx="247">
                  <c:v>49</c:v>
                </c:pt>
                <c:pt idx="248">
                  <c:v>55</c:v>
                </c:pt>
                <c:pt idx="249">
                  <c:v>44</c:v>
                </c:pt>
                <c:pt idx="250">
                  <c:v>29</c:v>
                </c:pt>
                <c:pt idx="251">
                  <c:v>64</c:v>
                </c:pt>
                <c:pt idx="252">
                  <c:v>72</c:v>
                </c:pt>
                <c:pt idx="253">
                  <c:v>60</c:v>
                </c:pt>
                <c:pt idx="254">
                  <c:v>50</c:v>
                </c:pt>
                <c:pt idx="255">
                  <c:v>93</c:v>
                </c:pt>
                <c:pt idx="256">
                  <c:v>77</c:v>
                </c:pt>
                <c:pt idx="257">
                  <c:v>45</c:v>
                </c:pt>
                <c:pt idx="258">
                  <c:v>29</c:v>
                </c:pt>
                <c:pt idx="259">
                  <c:v>60</c:v>
                </c:pt>
                <c:pt idx="260">
                  <c:v>60</c:v>
                </c:pt>
                <c:pt idx="261">
                  <c:v>44</c:v>
                </c:pt>
                <c:pt idx="262">
                  <c:v>25</c:v>
                </c:pt>
                <c:pt idx="263">
                  <c:v>35</c:v>
                </c:pt>
                <c:pt idx="264">
                  <c:v>26</c:v>
                </c:pt>
                <c:pt idx="265">
                  <c:v>23</c:v>
                </c:pt>
                <c:pt idx="266">
                  <c:v>48</c:v>
                </c:pt>
                <c:pt idx="267">
                  <c:v>86</c:v>
                </c:pt>
                <c:pt idx="268">
                  <c:v>50</c:v>
                </c:pt>
                <c:pt idx="269">
                  <c:v>48</c:v>
                </c:pt>
                <c:pt idx="270">
                  <c:v>100</c:v>
                </c:pt>
                <c:pt idx="271">
                  <c:v>57</c:v>
                </c:pt>
                <c:pt idx="272">
                  <c:v>55</c:v>
                </c:pt>
                <c:pt idx="273">
                  <c:v>71</c:v>
                </c:pt>
                <c:pt idx="274">
                  <c:v>64</c:v>
                </c:pt>
                <c:pt idx="275">
                  <c:v>15</c:v>
                </c:pt>
                <c:pt idx="276">
                  <c:v>72</c:v>
                </c:pt>
                <c:pt idx="277">
                  <c:v>24</c:v>
                </c:pt>
                <c:pt idx="278">
                  <c:v>36</c:v>
                </c:pt>
                <c:pt idx="279">
                  <c:v>101</c:v>
                </c:pt>
                <c:pt idx="280">
                  <c:v>28</c:v>
                </c:pt>
                <c:pt idx="281">
                  <c:v>35</c:v>
                </c:pt>
                <c:pt idx="282">
                  <c:v>80</c:v>
                </c:pt>
                <c:pt idx="283">
                  <c:v>56</c:v>
                </c:pt>
                <c:pt idx="284">
                  <c:v>55</c:v>
                </c:pt>
                <c:pt idx="285">
                  <c:v>72</c:v>
                </c:pt>
                <c:pt idx="286">
                  <c:v>79</c:v>
                </c:pt>
                <c:pt idx="287">
                  <c:v>47</c:v>
                </c:pt>
                <c:pt idx="288">
                  <c:v>35</c:v>
                </c:pt>
                <c:pt idx="289">
                  <c:v>101</c:v>
                </c:pt>
                <c:pt idx="290">
                  <c:v>70</c:v>
                </c:pt>
                <c:pt idx="291">
                  <c:v>63</c:v>
                </c:pt>
                <c:pt idx="292">
                  <c:v>75</c:v>
                </c:pt>
                <c:pt idx="293">
                  <c:v>8</c:v>
                </c:pt>
                <c:pt idx="294">
                  <c:v>44</c:v>
                </c:pt>
                <c:pt idx="295">
                  <c:v>45</c:v>
                </c:pt>
                <c:pt idx="296">
                  <c:v>63</c:v>
                </c:pt>
                <c:pt idx="297">
                  <c:v>40</c:v>
                </c:pt>
                <c:pt idx="298">
                  <c:v>30</c:v>
                </c:pt>
                <c:pt idx="299">
                  <c:v>49</c:v>
                </c:pt>
                <c:pt idx="300">
                  <c:v>122</c:v>
                </c:pt>
                <c:pt idx="301">
                  <c:v>34</c:v>
                </c:pt>
                <c:pt idx="302">
                  <c:v>35</c:v>
                </c:pt>
                <c:pt idx="303">
                  <c:v>79</c:v>
                </c:pt>
                <c:pt idx="304">
                  <c:v>16</c:v>
                </c:pt>
                <c:pt idx="305">
                  <c:v>59</c:v>
                </c:pt>
                <c:pt idx="306">
                  <c:v>38</c:v>
                </c:pt>
                <c:pt idx="307">
                  <c:v>51</c:v>
                </c:pt>
                <c:pt idx="308">
                  <c:v>34</c:v>
                </c:pt>
                <c:pt idx="309">
                  <c:v>65</c:v>
                </c:pt>
                <c:pt idx="310">
                  <c:v>45</c:v>
                </c:pt>
                <c:pt idx="311">
                  <c:v>81</c:v>
                </c:pt>
                <c:pt idx="312">
                  <c:v>64</c:v>
                </c:pt>
                <c:pt idx="313">
                  <c:v>55</c:v>
                </c:pt>
                <c:pt idx="314">
                  <c:v>41</c:v>
                </c:pt>
                <c:pt idx="315">
                  <c:v>66</c:v>
                </c:pt>
                <c:pt idx="316">
                  <c:v>67</c:v>
                </c:pt>
                <c:pt idx="317">
                  <c:v>79</c:v>
                </c:pt>
                <c:pt idx="318">
                  <c:v>37</c:v>
                </c:pt>
                <c:pt idx="319">
                  <c:v>83</c:v>
                </c:pt>
                <c:pt idx="320">
                  <c:v>39</c:v>
                </c:pt>
                <c:pt idx="321">
                  <c:v>55</c:v>
                </c:pt>
                <c:pt idx="322">
                  <c:v>32</c:v>
                </c:pt>
                <c:pt idx="323">
                  <c:v>43</c:v>
                </c:pt>
                <c:pt idx="324">
                  <c:v>39</c:v>
                </c:pt>
                <c:pt idx="325">
                  <c:v>55</c:v>
                </c:pt>
                <c:pt idx="326">
                  <c:v>61</c:v>
                </c:pt>
                <c:pt idx="327">
                  <c:v>63</c:v>
                </c:pt>
                <c:pt idx="328">
                  <c:v>79</c:v>
                </c:pt>
                <c:pt idx="329">
                  <c:v>56</c:v>
                </c:pt>
                <c:pt idx="330">
                  <c:v>30</c:v>
                </c:pt>
                <c:pt idx="331">
                  <c:v>60</c:v>
                </c:pt>
                <c:pt idx="332">
                  <c:v>30</c:v>
                </c:pt>
                <c:pt idx="333">
                  <c:v>24</c:v>
                </c:pt>
                <c:pt idx="334">
                  <c:v>17</c:v>
                </c:pt>
                <c:pt idx="335">
                  <c:v>81</c:v>
                </c:pt>
                <c:pt idx="336">
                  <c:v>33</c:v>
                </c:pt>
                <c:pt idx="337">
                  <c:v>54</c:v>
                </c:pt>
                <c:pt idx="338">
                  <c:v>55</c:v>
                </c:pt>
                <c:pt idx="339">
                  <c:v>45</c:v>
                </c:pt>
                <c:pt idx="340">
                  <c:v>65</c:v>
                </c:pt>
                <c:pt idx="341">
                  <c:v>49</c:v>
                </c:pt>
                <c:pt idx="342">
                  <c:v>37</c:v>
                </c:pt>
                <c:pt idx="343">
                  <c:v>26</c:v>
                </c:pt>
                <c:pt idx="344">
                  <c:v>33</c:v>
                </c:pt>
                <c:pt idx="345">
                  <c:v>100</c:v>
                </c:pt>
                <c:pt idx="346">
                  <c:v>19</c:v>
                </c:pt>
                <c:pt idx="347">
                  <c:v>27</c:v>
                </c:pt>
                <c:pt idx="348">
                  <c:v>41</c:v>
                </c:pt>
                <c:pt idx="349">
                  <c:v>43</c:v>
                </c:pt>
                <c:pt idx="350">
                  <c:v>81</c:v>
                </c:pt>
                <c:pt idx="351">
                  <c:v>50</c:v>
                </c:pt>
                <c:pt idx="352">
                  <c:v>70</c:v>
                </c:pt>
                <c:pt idx="353">
                  <c:v>41</c:v>
                </c:pt>
                <c:pt idx="354">
                  <c:v>34</c:v>
                </c:pt>
                <c:pt idx="355">
                  <c:v>45</c:v>
                </c:pt>
                <c:pt idx="356">
                  <c:v>78</c:v>
                </c:pt>
                <c:pt idx="357">
                  <c:v>54</c:v>
                </c:pt>
                <c:pt idx="358">
                  <c:v>45</c:v>
                </c:pt>
                <c:pt idx="359">
                  <c:v>56</c:v>
                </c:pt>
                <c:pt idx="360">
                  <c:v>31</c:v>
                </c:pt>
                <c:pt idx="361">
                  <c:v>71</c:v>
                </c:pt>
                <c:pt idx="362">
                  <c:v>55</c:v>
                </c:pt>
                <c:pt idx="363">
                  <c:v>26</c:v>
                </c:pt>
                <c:pt idx="364">
                  <c:v>76</c:v>
                </c:pt>
                <c:pt idx="365">
                  <c:v>45</c:v>
                </c:pt>
                <c:pt idx="366">
                  <c:v>48</c:v>
                </c:pt>
                <c:pt idx="367">
                  <c:v>39</c:v>
                </c:pt>
                <c:pt idx="368">
                  <c:v>57</c:v>
                </c:pt>
                <c:pt idx="369">
                  <c:v>53</c:v>
                </c:pt>
                <c:pt idx="370">
                  <c:v>55</c:v>
                </c:pt>
                <c:pt idx="371">
                  <c:v>39</c:v>
                </c:pt>
                <c:pt idx="372">
                  <c:v>48</c:v>
                </c:pt>
                <c:pt idx="373">
                  <c:v>88</c:v>
                </c:pt>
                <c:pt idx="374">
                  <c:v>59</c:v>
                </c:pt>
                <c:pt idx="375">
                  <c:v>37</c:v>
                </c:pt>
                <c:pt idx="376">
                  <c:v>51</c:v>
                </c:pt>
                <c:pt idx="377">
                  <c:v>27</c:v>
                </c:pt>
                <c:pt idx="378">
                  <c:v>72</c:v>
                </c:pt>
                <c:pt idx="379">
                  <c:v>39</c:v>
                </c:pt>
                <c:pt idx="380">
                  <c:v>66</c:v>
                </c:pt>
                <c:pt idx="381">
                  <c:v>70</c:v>
                </c:pt>
                <c:pt idx="382">
                  <c:v>36</c:v>
                </c:pt>
                <c:pt idx="383">
                  <c:v>31</c:v>
                </c:pt>
                <c:pt idx="384">
                  <c:v>39</c:v>
                </c:pt>
                <c:pt idx="385">
                  <c:v>48</c:v>
                </c:pt>
                <c:pt idx="386">
                  <c:v>55</c:v>
                </c:pt>
                <c:pt idx="387">
                  <c:v>57</c:v>
                </c:pt>
                <c:pt idx="388">
                  <c:v>36</c:v>
                </c:pt>
                <c:pt idx="389">
                  <c:v>72</c:v>
                </c:pt>
                <c:pt idx="390">
                  <c:v>31</c:v>
                </c:pt>
                <c:pt idx="391">
                  <c:v>35</c:v>
                </c:pt>
                <c:pt idx="392">
                  <c:v>48</c:v>
                </c:pt>
                <c:pt idx="393">
                  <c:v>27</c:v>
                </c:pt>
                <c:pt idx="394">
                  <c:v>31</c:v>
                </c:pt>
                <c:pt idx="395">
                  <c:v>53</c:v>
                </c:pt>
                <c:pt idx="396">
                  <c:v>34</c:v>
                </c:pt>
                <c:pt idx="397">
                  <c:v>36</c:v>
                </c:pt>
                <c:pt idx="398">
                  <c:v>11</c:v>
                </c:pt>
                <c:pt idx="399">
                  <c:v>22</c:v>
                </c:pt>
                <c:pt idx="400">
                  <c:v>33</c:v>
                </c:pt>
                <c:pt idx="401">
                  <c:v>55</c:v>
                </c:pt>
                <c:pt idx="402">
                  <c:v>47</c:v>
                </c:pt>
                <c:pt idx="403">
                  <c:v>41</c:v>
                </c:pt>
                <c:pt idx="404">
                  <c:v>85</c:v>
                </c:pt>
                <c:pt idx="405">
                  <c:v>67</c:v>
                </c:pt>
                <c:pt idx="406">
                  <c:v>43</c:v>
                </c:pt>
                <c:pt idx="407">
                  <c:v>57</c:v>
                </c:pt>
                <c:pt idx="408">
                  <c:v>27</c:v>
                </c:pt>
                <c:pt idx="409">
                  <c:v>54</c:v>
                </c:pt>
                <c:pt idx="410">
                  <c:v>86</c:v>
                </c:pt>
                <c:pt idx="411">
                  <c:v>64</c:v>
                </c:pt>
                <c:pt idx="412">
                  <c:v>33</c:v>
                </c:pt>
                <c:pt idx="413">
                  <c:v>44</c:v>
                </c:pt>
                <c:pt idx="414">
                  <c:v>39</c:v>
                </c:pt>
                <c:pt idx="415">
                  <c:v>67</c:v>
                </c:pt>
                <c:pt idx="416">
                  <c:v>26</c:v>
                </c:pt>
                <c:pt idx="417">
                  <c:v>71</c:v>
                </c:pt>
                <c:pt idx="418">
                  <c:v>45</c:v>
                </c:pt>
                <c:pt idx="419">
                  <c:v>69</c:v>
                </c:pt>
                <c:pt idx="420">
                  <c:v>68</c:v>
                </c:pt>
                <c:pt idx="421">
                  <c:v>44</c:v>
                </c:pt>
                <c:pt idx="422">
                  <c:v>53</c:v>
                </c:pt>
                <c:pt idx="423">
                  <c:v>65</c:v>
                </c:pt>
                <c:pt idx="424">
                  <c:v>39</c:v>
                </c:pt>
                <c:pt idx="425">
                  <c:v>88</c:v>
                </c:pt>
                <c:pt idx="426">
                  <c:v>56</c:v>
                </c:pt>
                <c:pt idx="427">
                  <c:v>55</c:v>
                </c:pt>
                <c:pt idx="428">
                  <c:v>42</c:v>
                </c:pt>
                <c:pt idx="429">
                  <c:v>27</c:v>
                </c:pt>
                <c:pt idx="430">
                  <c:v>36</c:v>
                </c:pt>
                <c:pt idx="431">
                  <c:v>31</c:v>
                </c:pt>
                <c:pt idx="432">
                  <c:v>19</c:v>
                </c:pt>
                <c:pt idx="433">
                  <c:v>107</c:v>
                </c:pt>
                <c:pt idx="434">
                  <c:v>111</c:v>
                </c:pt>
                <c:pt idx="435">
                  <c:v>73</c:v>
                </c:pt>
                <c:pt idx="436">
                  <c:v>34</c:v>
                </c:pt>
                <c:pt idx="437">
                  <c:v>47</c:v>
                </c:pt>
                <c:pt idx="438">
                  <c:v>15</c:v>
                </c:pt>
                <c:pt idx="439">
                  <c:v>41</c:v>
                </c:pt>
                <c:pt idx="440">
                  <c:v>92</c:v>
                </c:pt>
                <c:pt idx="441">
                  <c:v>55</c:v>
                </c:pt>
                <c:pt idx="442">
                  <c:v>45</c:v>
                </c:pt>
                <c:pt idx="443">
                  <c:v>48</c:v>
                </c:pt>
                <c:pt idx="444">
                  <c:v>33</c:v>
                </c:pt>
                <c:pt idx="445">
                  <c:v>84</c:v>
                </c:pt>
                <c:pt idx="446">
                  <c:v>47</c:v>
                </c:pt>
                <c:pt idx="447">
                  <c:v>25</c:v>
                </c:pt>
                <c:pt idx="448">
                  <c:v>68</c:v>
                </c:pt>
                <c:pt idx="449">
                  <c:v>16</c:v>
                </c:pt>
                <c:pt idx="450">
                  <c:v>74</c:v>
                </c:pt>
                <c:pt idx="451">
                  <c:v>98</c:v>
                </c:pt>
                <c:pt idx="452">
                  <c:v>36</c:v>
                </c:pt>
                <c:pt idx="453">
                  <c:v>15</c:v>
                </c:pt>
                <c:pt idx="454">
                  <c:v>62</c:v>
                </c:pt>
                <c:pt idx="455">
                  <c:v>25</c:v>
                </c:pt>
                <c:pt idx="456">
                  <c:v>66</c:v>
                </c:pt>
                <c:pt idx="457">
                  <c:v>71</c:v>
                </c:pt>
                <c:pt idx="458">
                  <c:v>84</c:v>
                </c:pt>
                <c:pt idx="459">
                  <c:v>73</c:v>
                </c:pt>
                <c:pt idx="460">
                  <c:v>76</c:v>
                </c:pt>
                <c:pt idx="461">
                  <c:v>35</c:v>
                </c:pt>
                <c:pt idx="462">
                  <c:v>41</c:v>
                </c:pt>
                <c:pt idx="463">
                  <c:v>42</c:v>
                </c:pt>
                <c:pt idx="464">
                  <c:v>83</c:v>
                </c:pt>
                <c:pt idx="465">
                  <c:v>55</c:v>
                </c:pt>
                <c:pt idx="466">
                  <c:v>61</c:v>
                </c:pt>
                <c:pt idx="467">
                  <c:v>84</c:v>
                </c:pt>
                <c:pt idx="468">
                  <c:v>35</c:v>
                </c:pt>
                <c:pt idx="469">
                  <c:v>75</c:v>
                </c:pt>
                <c:pt idx="470">
                  <c:v>49</c:v>
                </c:pt>
                <c:pt idx="471">
                  <c:v>37</c:v>
                </c:pt>
                <c:pt idx="472">
                  <c:v>52</c:v>
                </c:pt>
                <c:pt idx="473">
                  <c:v>73</c:v>
                </c:pt>
                <c:pt idx="474">
                  <c:v>45</c:v>
                </c:pt>
                <c:pt idx="475">
                  <c:v>22</c:v>
                </c:pt>
                <c:pt idx="476">
                  <c:v>47</c:v>
                </c:pt>
                <c:pt idx="477">
                  <c:v>44</c:v>
                </c:pt>
                <c:pt idx="478">
                  <c:v>39</c:v>
                </c:pt>
                <c:pt idx="479">
                  <c:v>56</c:v>
                </c:pt>
                <c:pt idx="480">
                  <c:v>34</c:v>
                </c:pt>
                <c:pt idx="481">
                  <c:v>57</c:v>
                </c:pt>
                <c:pt idx="482">
                  <c:v>51</c:v>
                </c:pt>
                <c:pt idx="483">
                  <c:v>44</c:v>
                </c:pt>
                <c:pt idx="484">
                  <c:v>30</c:v>
                </c:pt>
                <c:pt idx="485">
                  <c:v>32</c:v>
                </c:pt>
                <c:pt idx="486">
                  <c:v>73</c:v>
                </c:pt>
                <c:pt idx="487">
                  <c:v>82</c:v>
                </c:pt>
                <c:pt idx="488">
                  <c:v>83</c:v>
                </c:pt>
                <c:pt idx="489">
                  <c:v>46</c:v>
                </c:pt>
                <c:pt idx="490">
                  <c:v>25</c:v>
                </c:pt>
                <c:pt idx="491">
                  <c:v>48</c:v>
                </c:pt>
                <c:pt idx="492">
                  <c:v>37</c:v>
                </c:pt>
                <c:pt idx="493">
                  <c:v>33</c:v>
                </c:pt>
                <c:pt idx="494">
                  <c:v>61</c:v>
                </c:pt>
                <c:pt idx="495">
                  <c:v>48</c:v>
                </c:pt>
                <c:pt idx="496">
                  <c:v>135</c:v>
                </c:pt>
                <c:pt idx="497">
                  <c:v>72</c:v>
                </c:pt>
                <c:pt idx="498">
                  <c:v>32</c:v>
                </c:pt>
                <c:pt idx="499">
                  <c:v>76</c:v>
                </c:pt>
              </c:numCache>
            </c:numRef>
          </c:xVal>
          <c:yVal>
            <c:numRef>
              <c:f>Regression!$G$50:$G$549</c:f>
              <c:numCache>
                <c:formatCode>General</c:formatCode>
                <c:ptCount val="500"/>
                <c:pt idx="0">
                  <c:v>4.4430556159210219</c:v>
                </c:pt>
                <c:pt idx="1">
                  <c:v>7.7075245158564272</c:v>
                </c:pt>
                <c:pt idx="2">
                  <c:v>6.3650600895627543</c:v>
                </c:pt>
                <c:pt idx="3">
                  <c:v>5.2905139620239208</c:v>
                </c:pt>
                <c:pt idx="4">
                  <c:v>5.2920077614380263</c:v>
                </c:pt>
                <c:pt idx="5">
                  <c:v>5.5280583393585996</c:v>
                </c:pt>
                <c:pt idx="6">
                  <c:v>4.4659605402706504</c:v>
                </c:pt>
                <c:pt idx="7">
                  <c:v>4.4425576827829865</c:v>
                </c:pt>
                <c:pt idx="8">
                  <c:v>4.4500266798535177</c:v>
                </c:pt>
                <c:pt idx="9">
                  <c:v>4.4505246129915523</c:v>
                </c:pt>
                <c:pt idx="10">
                  <c:v>4.436084551988527</c:v>
                </c:pt>
                <c:pt idx="11">
                  <c:v>6.6135589959342127</c:v>
                </c:pt>
                <c:pt idx="12">
                  <c:v>5.5240748742543158</c:v>
                </c:pt>
                <c:pt idx="13">
                  <c:v>6.1240301802618271</c:v>
                </c:pt>
                <c:pt idx="14">
                  <c:v>6.375018752323462</c:v>
                </c:pt>
                <c:pt idx="15">
                  <c:v>6.3790022174277459</c:v>
                </c:pt>
                <c:pt idx="16">
                  <c:v>6.6275011237992025</c:v>
                </c:pt>
                <c:pt idx="17">
                  <c:v>7.7115079809607101</c:v>
                </c:pt>
                <c:pt idx="18">
                  <c:v>7.7085203821324981</c:v>
                </c:pt>
                <c:pt idx="19">
                  <c:v>6.3809939499798878</c:v>
                </c:pt>
                <c:pt idx="20">
                  <c:v>5.5454859991898378</c:v>
                </c:pt>
                <c:pt idx="21">
                  <c:v>5.5265645399444931</c:v>
                </c:pt>
                <c:pt idx="22">
                  <c:v>2.2800212329783629</c:v>
                </c:pt>
                <c:pt idx="23">
                  <c:v>6.6185383273145657</c:v>
                </c:pt>
                <c:pt idx="24">
                  <c:v>6.3655580227007897</c:v>
                </c:pt>
                <c:pt idx="25">
                  <c:v>4.442059749644951</c:v>
                </c:pt>
                <c:pt idx="26">
                  <c:v>2.2845026312206813</c:v>
                </c:pt>
                <c:pt idx="27">
                  <c:v>7.7035410507521433</c:v>
                </c:pt>
                <c:pt idx="28">
                  <c:v>6.6080817314158224</c:v>
                </c:pt>
                <c:pt idx="29">
                  <c:v>5.5380170021193074</c:v>
                </c:pt>
                <c:pt idx="30">
                  <c:v>7.6945782542675065</c:v>
                </c:pt>
                <c:pt idx="31">
                  <c:v>6.6419411848022296</c:v>
                </c:pt>
                <c:pt idx="32">
                  <c:v>4.4435535490590574</c:v>
                </c:pt>
                <c:pt idx="33">
                  <c:v>4.4330969531603142</c:v>
                </c:pt>
                <c:pt idx="34">
                  <c:v>6.6115672633820708</c:v>
                </c:pt>
                <c:pt idx="35">
                  <c:v>5.2910118951619562</c:v>
                </c:pt>
                <c:pt idx="36">
                  <c:v>6.4243141329889664</c:v>
                </c:pt>
                <c:pt idx="37">
                  <c:v>6.6190362604526012</c:v>
                </c:pt>
                <c:pt idx="38">
                  <c:v>5.0514757852751346</c:v>
                </c:pt>
                <c:pt idx="39">
                  <c:v>2.2795232998403274</c:v>
                </c:pt>
                <c:pt idx="40">
                  <c:v>6.1444454389212781</c:v>
                </c:pt>
                <c:pt idx="41">
                  <c:v>6.37103528721918</c:v>
                </c:pt>
                <c:pt idx="42">
                  <c:v>6.3670518221148962</c:v>
                </c:pt>
                <c:pt idx="43">
                  <c:v>5.2755759678828591</c:v>
                </c:pt>
                <c:pt idx="44">
                  <c:v>6.6065879320017169</c:v>
                </c:pt>
                <c:pt idx="45">
                  <c:v>6.3879650139123827</c:v>
                </c:pt>
                <c:pt idx="46">
                  <c:v>4.439072150816739</c:v>
                </c:pt>
                <c:pt idx="47">
                  <c:v>2.299440625361743</c:v>
                </c:pt>
                <c:pt idx="48">
                  <c:v>4.438076284540668</c:v>
                </c:pt>
                <c:pt idx="49">
                  <c:v>7.7050348501662498</c:v>
                </c:pt>
                <c:pt idx="50">
                  <c:v>2.2879881631869292</c:v>
                </c:pt>
                <c:pt idx="51">
                  <c:v>5.0514757852751346</c:v>
                </c:pt>
                <c:pt idx="52">
                  <c:v>6.3829856825320288</c:v>
                </c:pt>
                <c:pt idx="53">
                  <c:v>6.3650600895627543</c:v>
                </c:pt>
                <c:pt idx="54">
                  <c:v>6.6095755308299289</c:v>
                </c:pt>
                <c:pt idx="55">
                  <c:v>2.2725522359078321</c:v>
                </c:pt>
                <c:pt idx="56">
                  <c:v>6.3844794819461352</c:v>
                </c:pt>
                <c:pt idx="57">
                  <c:v>6.1329929767464639</c:v>
                </c:pt>
                <c:pt idx="58">
                  <c:v>6.376014618599533</c:v>
                </c:pt>
                <c:pt idx="59">
                  <c:v>2.2610997737330178</c:v>
                </c:pt>
                <c:pt idx="60">
                  <c:v>6.3715332203572155</c:v>
                </c:pt>
                <c:pt idx="61">
                  <c:v>5.5190955428739628</c:v>
                </c:pt>
                <c:pt idx="62">
                  <c:v>4.4764171361693936</c:v>
                </c:pt>
                <c:pt idx="63">
                  <c:v>6.3790022174277459</c:v>
                </c:pt>
                <c:pt idx="64">
                  <c:v>5.5410046009475202</c:v>
                </c:pt>
                <c:pt idx="65">
                  <c:v>4.4560018775099426</c:v>
                </c:pt>
                <c:pt idx="66">
                  <c:v>6.376014618599533</c:v>
                </c:pt>
                <c:pt idx="67">
                  <c:v>6.6255093912470615</c:v>
                </c:pt>
                <c:pt idx="68">
                  <c:v>5.5190955428739628</c:v>
                </c:pt>
                <c:pt idx="69">
                  <c:v>5.53552733642913</c:v>
                </c:pt>
                <c:pt idx="70">
                  <c:v>4.2134781687949099</c:v>
                </c:pt>
                <c:pt idx="71">
                  <c:v>6.6185383273145657</c:v>
                </c:pt>
                <c:pt idx="72">
                  <c:v>5.5275604062205641</c:v>
                </c:pt>
                <c:pt idx="73">
                  <c:v>6.6120651965201063</c:v>
                </c:pt>
                <c:pt idx="74">
                  <c:v>5.5285562724966351</c:v>
                </c:pt>
                <c:pt idx="75">
                  <c:v>5.2885222294717797</c:v>
                </c:pt>
                <c:pt idx="76">
                  <c:v>6.3804960168418523</c:v>
                </c:pt>
                <c:pt idx="77">
                  <c:v>5.3024643573367696</c:v>
                </c:pt>
                <c:pt idx="78">
                  <c:v>6.6299907894893799</c:v>
                </c:pt>
                <c:pt idx="79">
                  <c:v>4.4450473484731639</c:v>
                </c:pt>
                <c:pt idx="80">
                  <c:v>6.6374597865599103</c:v>
                </c:pt>
                <c:pt idx="81">
                  <c:v>2.2795232998403274</c:v>
                </c:pt>
                <c:pt idx="82">
                  <c:v>6.3725290866332855</c:v>
                </c:pt>
                <c:pt idx="83">
                  <c:v>6.372031153495251</c:v>
                </c:pt>
                <c:pt idx="84">
                  <c:v>4.2040174391722376</c:v>
                </c:pt>
                <c:pt idx="85">
                  <c:v>4.2164657676231219</c:v>
                </c:pt>
                <c:pt idx="86">
                  <c:v>6.373027019771321</c:v>
                </c:pt>
                <c:pt idx="87">
                  <c:v>5.2760739010208946</c:v>
                </c:pt>
                <c:pt idx="88">
                  <c:v>5.5360252695671655</c:v>
                </c:pt>
                <c:pt idx="89">
                  <c:v>6.3849774150841698</c:v>
                </c:pt>
                <c:pt idx="90">
                  <c:v>6.3829856825320288</c:v>
                </c:pt>
                <c:pt idx="91">
                  <c:v>4.4520184124056588</c:v>
                </c:pt>
                <c:pt idx="92">
                  <c:v>2.2675729045274782</c:v>
                </c:pt>
                <c:pt idx="93">
                  <c:v>4.4629729414424375</c:v>
                </c:pt>
                <c:pt idx="94">
                  <c:v>6.3670518221148962</c:v>
                </c:pt>
                <c:pt idx="95">
                  <c:v>5.3034602236128405</c:v>
                </c:pt>
                <c:pt idx="96">
                  <c:v>6.6309866557654509</c:v>
                </c:pt>
                <c:pt idx="97">
                  <c:v>5.533535603876989</c:v>
                </c:pt>
                <c:pt idx="98">
                  <c:v>5.5459839323278732</c:v>
                </c:pt>
                <c:pt idx="99">
                  <c:v>6.6235176586949205</c:v>
                </c:pt>
                <c:pt idx="100">
                  <c:v>6.6329783883175928</c:v>
                </c:pt>
                <c:pt idx="101">
                  <c:v>6.6394515191120522</c:v>
                </c:pt>
                <c:pt idx="102">
                  <c:v>6.6036003331735049</c:v>
                </c:pt>
                <c:pt idx="103">
                  <c:v>6.626007324385097</c:v>
                </c:pt>
                <c:pt idx="104">
                  <c:v>6.6165465947624247</c:v>
                </c:pt>
                <c:pt idx="105">
                  <c:v>6.6135589959342127</c:v>
                </c:pt>
                <c:pt idx="106">
                  <c:v>6.6080817314158224</c:v>
                </c:pt>
                <c:pt idx="107">
                  <c:v>6.6200321267286721</c:v>
                </c:pt>
                <c:pt idx="108">
                  <c:v>6.6324804551795573</c:v>
                </c:pt>
                <c:pt idx="109">
                  <c:v>5.2760739010208946</c:v>
                </c:pt>
                <c:pt idx="110">
                  <c:v>6.626007324385097</c:v>
                </c:pt>
                <c:pt idx="111">
                  <c:v>5.2915098282999908</c:v>
                </c:pt>
                <c:pt idx="112">
                  <c:v>4.4515204792676233</c:v>
                </c:pt>
                <c:pt idx="113">
                  <c:v>2.2874902300488937</c:v>
                </c:pt>
                <c:pt idx="114">
                  <c:v>4.2010298403440247</c:v>
                </c:pt>
                <c:pt idx="115">
                  <c:v>2.2725522359078321</c:v>
                </c:pt>
                <c:pt idx="116">
                  <c:v>5.5365232027052009</c:v>
                </c:pt>
                <c:pt idx="117">
                  <c:v>4.4545080780958362</c:v>
                </c:pt>
                <c:pt idx="118">
                  <c:v>6.3809939499798878</c:v>
                </c:pt>
                <c:pt idx="119">
                  <c:v>6.3954340109829131</c:v>
                </c:pt>
                <c:pt idx="120">
                  <c:v>6.3735249529093565</c:v>
                </c:pt>
                <c:pt idx="121">
                  <c:v>6.1349847092986058</c:v>
                </c:pt>
                <c:pt idx="122">
                  <c:v>2.2735481021839026</c:v>
                </c:pt>
                <c:pt idx="123">
                  <c:v>7.7055327833042853</c:v>
                </c:pt>
                <c:pt idx="124">
                  <c:v>5.53552733642913</c:v>
                </c:pt>
                <c:pt idx="125">
                  <c:v>5.5370211358432364</c:v>
                </c:pt>
                <c:pt idx="126">
                  <c:v>4.4465411478872703</c:v>
                </c:pt>
                <c:pt idx="127">
                  <c:v>6.6085796645538579</c:v>
                </c:pt>
                <c:pt idx="128">
                  <c:v>5.5360252695671655</c:v>
                </c:pt>
                <c:pt idx="129">
                  <c:v>2.2655811719753367</c:v>
                </c:pt>
                <c:pt idx="130">
                  <c:v>6.37103528721918</c:v>
                </c:pt>
                <c:pt idx="131">
                  <c:v>5.2860325637816024</c:v>
                </c:pt>
                <c:pt idx="132">
                  <c:v>6.3690435546670381</c:v>
                </c:pt>
                <c:pt idx="133">
                  <c:v>6.6045961994495759</c:v>
                </c:pt>
                <c:pt idx="134">
                  <c:v>2.2825108986685398</c:v>
                </c:pt>
                <c:pt idx="135">
                  <c:v>2.2740460353219381</c:v>
                </c:pt>
                <c:pt idx="136">
                  <c:v>2.2745439684599735</c:v>
                </c:pt>
                <c:pt idx="137">
                  <c:v>4.4375783514026335</c:v>
                </c:pt>
                <c:pt idx="138">
                  <c:v>4.4475370141633412</c:v>
                </c:pt>
                <c:pt idx="139">
                  <c:v>6.370039420943109</c:v>
                </c:pt>
                <c:pt idx="140">
                  <c:v>6.3859732813602408</c:v>
                </c:pt>
                <c:pt idx="141">
                  <c:v>6.3879650139123827</c:v>
                </c:pt>
                <c:pt idx="142">
                  <c:v>6.6045961994495759</c:v>
                </c:pt>
                <c:pt idx="143">
                  <c:v>4.4520184124056588</c:v>
                </c:pt>
                <c:pt idx="144">
                  <c:v>2.299440625361743</c:v>
                </c:pt>
                <c:pt idx="145">
                  <c:v>6.3795001505657813</c:v>
                </c:pt>
                <c:pt idx="146">
                  <c:v>5.2890201626098143</c:v>
                </c:pt>
                <c:pt idx="147">
                  <c:v>2.2745439684599735</c:v>
                </c:pt>
                <c:pt idx="148">
                  <c:v>5.5514611968462626</c:v>
                </c:pt>
                <c:pt idx="149">
                  <c:v>2.2919716282912121</c:v>
                </c:pt>
                <c:pt idx="150">
                  <c:v>4.439072150816739</c:v>
                </c:pt>
                <c:pt idx="151">
                  <c:v>4.4589894763381546</c:v>
                </c:pt>
                <c:pt idx="152">
                  <c:v>4.4490308135774468</c:v>
                </c:pt>
                <c:pt idx="153">
                  <c:v>6.1489268371635974</c:v>
                </c:pt>
                <c:pt idx="154">
                  <c:v>4.4614791420283311</c:v>
                </c:pt>
                <c:pt idx="155">
                  <c:v>5.5215852085641393</c:v>
                </c:pt>
                <c:pt idx="156">
                  <c:v>6.150420636577703</c:v>
                </c:pt>
                <c:pt idx="157">
                  <c:v>5.5385149352573428</c:v>
                </c:pt>
                <c:pt idx="158">
                  <c:v>4.4345907525744206</c:v>
                </c:pt>
                <c:pt idx="159">
                  <c:v>4.4589894763381546</c:v>
                </c:pt>
                <c:pt idx="160">
                  <c:v>5.5454859991898378</c:v>
                </c:pt>
                <c:pt idx="161">
                  <c:v>4.4405659502308445</c:v>
                </c:pt>
                <c:pt idx="162">
                  <c:v>5.5220831417021747</c:v>
                </c:pt>
                <c:pt idx="163">
                  <c:v>6.6185383273145657</c:v>
                </c:pt>
                <c:pt idx="164">
                  <c:v>5.5494694642941216</c:v>
                </c:pt>
                <c:pt idx="165">
                  <c:v>6.130005377918252</c:v>
                </c:pt>
                <c:pt idx="166">
                  <c:v>5.5375190689812719</c:v>
                </c:pt>
                <c:pt idx="167">
                  <c:v>4.45948740947619</c:v>
                </c:pt>
                <c:pt idx="168">
                  <c:v>4.4375783514026335</c:v>
                </c:pt>
                <c:pt idx="169">
                  <c:v>6.1409599069550307</c:v>
                </c:pt>
                <c:pt idx="170">
                  <c:v>4.4540101449578007</c:v>
                </c:pt>
                <c:pt idx="171">
                  <c:v>6.6205300598667076</c:v>
                </c:pt>
                <c:pt idx="172">
                  <c:v>6.130005377918252</c:v>
                </c:pt>
                <c:pt idx="173">
                  <c:v>5.2800573661251775</c:v>
                </c:pt>
                <c:pt idx="174">
                  <c:v>5.2870284300576733</c:v>
                </c:pt>
                <c:pt idx="175">
                  <c:v>6.1364785087127123</c:v>
                </c:pt>
                <c:pt idx="176">
                  <c:v>6.6180403941765302</c:v>
                </c:pt>
                <c:pt idx="177">
                  <c:v>2.2820129655305044</c:v>
                </c:pt>
                <c:pt idx="178">
                  <c:v>5.277567700435001</c:v>
                </c:pt>
                <c:pt idx="179">
                  <c:v>4.44006801709281</c:v>
                </c:pt>
                <c:pt idx="180">
                  <c:v>5.5230790079782457</c:v>
                </c:pt>
                <c:pt idx="181">
                  <c:v>6.6414432516641941</c:v>
                </c:pt>
                <c:pt idx="182">
                  <c:v>6.3894588133264891</c:v>
                </c:pt>
                <c:pt idx="183">
                  <c:v>5.534531470153059</c:v>
                </c:pt>
                <c:pt idx="184">
                  <c:v>2.2705605033556906</c:v>
                </c:pt>
                <c:pt idx="185">
                  <c:v>4.442059749644951</c:v>
                </c:pt>
                <c:pt idx="186">
                  <c:v>6.6155507284863537</c:v>
                </c:pt>
                <c:pt idx="187">
                  <c:v>6.1549020348200214</c:v>
                </c:pt>
                <c:pt idx="188">
                  <c:v>6.1439475057832427</c:v>
                </c:pt>
                <c:pt idx="189">
                  <c:v>5.5464818654659087</c:v>
                </c:pt>
                <c:pt idx="190">
                  <c:v>5.5420004672235903</c:v>
                </c:pt>
                <c:pt idx="191">
                  <c:v>6.377010484875604</c:v>
                </c:pt>
                <c:pt idx="192">
                  <c:v>2.2745439684599735</c:v>
                </c:pt>
                <c:pt idx="193">
                  <c:v>6.6215259261427786</c:v>
                </c:pt>
                <c:pt idx="194">
                  <c:v>6.3745208191854275</c:v>
                </c:pt>
                <c:pt idx="195">
                  <c:v>6.3999154092252324</c:v>
                </c:pt>
                <c:pt idx="196">
                  <c:v>2.2850005643587168</c:v>
                </c:pt>
                <c:pt idx="197">
                  <c:v>6.1384702412648542</c:v>
                </c:pt>
                <c:pt idx="198">
                  <c:v>4.4500266798535177</c:v>
                </c:pt>
                <c:pt idx="199">
                  <c:v>6.1479309708875265</c:v>
                </c:pt>
                <c:pt idx="200">
                  <c:v>2.256120442352664</c:v>
                </c:pt>
                <c:pt idx="201">
                  <c:v>5.532539737600918</c:v>
                </c:pt>
                <c:pt idx="202">
                  <c:v>5.53552733642913</c:v>
                </c:pt>
                <c:pt idx="203">
                  <c:v>6.3650600895627543</c:v>
                </c:pt>
                <c:pt idx="204">
                  <c:v>6.3929443452927366</c:v>
                </c:pt>
                <c:pt idx="205">
                  <c:v>7.7010513850619668</c:v>
                </c:pt>
                <c:pt idx="206">
                  <c:v>5.5330376707389535</c:v>
                </c:pt>
                <c:pt idx="207">
                  <c:v>6.3690435546670381</c:v>
                </c:pt>
                <c:pt idx="208">
                  <c:v>2.2665770382514072</c:v>
                </c:pt>
                <c:pt idx="209">
                  <c:v>5.5524570631223336</c:v>
                </c:pt>
                <c:pt idx="210">
                  <c:v>5.5624157258830413</c:v>
                </c:pt>
                <c:pt idx="211">
                  <c:v>5.2815511655392831</c:v>
                </c:pt>
                <c:pt idx="212">
                  <c:v>4.4649646739945794</c:v>
                </c:pt>
                <c:pt idx="213">
                  <c:v>4.4455452816111993</c:v>
                </c:pt>
                <c:pt idx="214">
                  <c:v>5.5420004672235903</c:v>
                </c:pt>
                <c:pt idx="215">
                  <c:v>6.6384556528359813</c:v>
                </c:pt>
                <c:pt idx="216">
                  <c:v>4.4415618165069155</c:v>
                </c:pt>
                <c:pt idx="217">
                  <c:v>4.45948740947619</c:v>
                </c:pt>
                <c:pt idx="218">
                  <c:v>6.370039420943109</c:v>
                </c:pt>
                <c:pt idx="219">
                  <c:v>5.5499673974321571</c:v>
                </c:pt>
                <c:pt idx="220">
                  <c:v>2.2695646370796196</c:v>
                </c:pt>
                <c:pt idx="221">
                  <c:v>3.965975128699522</c:v>
                </c:pt>
                <c:pt idx="222">
                  <c:v>4.2010298403440247</c:v>
                </c:pt>
                <c:pt idx="223">
                  <c:v>6.628994923213309</c:v>
                </c:pt>
                <c:pt idx="224">
                  <c:v>6.6085796645538579</c:v>
                </c:pt>
                <c:pt idx="225">
                  <c:v>6.3839815488080998</c:v>
                </c:pt>
                <c:pt idx="226">
                  <c:v>6.6623564434616807</c:v>
                </c:pt>
                <c:pt idx="227">
                  <c:v>4.4564998106479781</c:v>
                </c:pt>
                <c:pt idx="228">
                  <c:v>6.3780063511516749</c:v>
                </c:pt>
                <c:pt idx="229">
                  <c:v>6.3844794819461352</c:v>
                </c:pt>
                <c:pt idx="230">
                  <c:v>6.6175424610384947</c:v>
                </c:pt>
                <c:pt idx="231">
                  <c:v>6.4004133423632679</c:v>
                </c:pt>
                <c:pt idx="232">
                  <c:v>5.5688888566775017</c:v>
                </c:pt>
                <c:pt idx="233">
                  <c:v>6.624015591832956</c:v>
                </c:pt>
                <c:pt idx="234">
                  <c:v>6.1280136453661109</c:v>
                </c:pt>
                <c:pt idx="235">
                  <c:v>2.2944612939813891</c:v>
                </c:pt>
                <c:pt idx="236">
                  <c:v>5.5245728073923512</c:v>
                </c:pt>
                <c:pt idx="237">
                  <c:v>4.4520184124056588</c:v>
                </c:pt>
                <c:pt idx="238">
                  <c:v>5.5320418044628825</c:v>
                </c:pt>
                <c:pt idx="239">
                  <c:v>6.394438144706843</c:v>
                </c:pt>
                <c:pt idx="240">
                  <c:v>2.2790253667022919</c:v>
                </c:pt>
                <c:pt idx="241">
                  <c:v>6.6145548622102837</c:v>
                </c:pt>
                <c:pt idx="242">
                  <c:v>5.5220831417021747</c:v>
                </c:pt>
                <c:pt idx="243">
                  <c:v>6.6543895132531148</c:v>
                </c:pt>
                <c:pt idx="244">
                  <c:v>6.1558979010960924</c:v>
                </c:pt>
                <c:pt idx="245">
                  <c:v>5.5200914091500337</c:v>
                </c:pt>
                <c:pt idx="246">
                  <c:v>2.2770336341501505</c:v>
                </c:pt>
                <c:pt idx="247">
                  <c:v>5.534531470153059</c:v>
                </c:pt>
                <c:pt idx="248">
                  <c:v>6.3809939499798878</c:v>
                </c:pt>
                <c:pt idx="249">
                  <c:v>6.3755166854614975</c:v>
                </c:pt>
                <c:pt idx="250">
                  <c:v>6.3680476883909671</c:v>
                </c:pt>
                <c:pt idx="251">
                  <c:v>6.627999056937238</c:v>
                </c:pt>
                <c:pt idx="252">
                  <c:v>5.5459839323278732</c:v>
                </c:pt>
                <c:pt idx="253">
                  <c:v>6.3834836156700643</c:v>
                </c:pt>
                <c:pt idx="254">
                  <c:v>6.3785042842897104</c:v>
                </c:pt>
                <c:pt idx="255">
                  <c:v>2.298444759085672</c:v>
                </c:pt>
                <c:pt idx="256">
                  <c:v>5.5484735980180506</c:v>
                </c:pt>
                <c:pt idx="257">
                  <c:v>6.6185383273145657</c:v>
                </c:pt>
                <c:pt idx="258">
                  <c:v>6.6105713971059998</c:v>
                </c:pt>
                <c:pt idx="259">
                  <c:v>6.3834836156700643</c:v>
                </c:pt>
                <c:pt idx="260">
                  <c:v>4.211486436242768</c:v>
                </c:pt>
                <c:pt idx="261">
                  <c:v>4.2035195060342021</c:v>
                </c:pt>
                <c:pt idx="262">
                  <c:v>6.1235322471237916</c:v>
                </c:pt>
                <c:pt idx="263">
                  <c:v>2.2695646370796196</c:v>
                </c:pt>
                <c:pt idx="264">
                  <c:v>6.3665538889768607</c:v>
                </c:pt>
                <c:pt idx="265">
                  <c:v>6.1225363808477207</c:v>
                </c:pt>
                <c:pt idx="266">
                  <c:v>5.5340335370150235</c:v>
                </c:pt>
                <c:pt idx="267">
                  <c:v>6.1539061685439505</c:v>
                </c:pt>
                <c:pt idx="268">
                  <c:v>7.7070265827183917</c:v>
                </c:pt>
                <c:pt idx="269">
                  <c:v>6.6200321267286721</c:v>
                </c:pt>
                <c:pt idx="270">
                  <c:v>4.4739274704792162</c:v>
                </c:pt>
                <c:pt idx="271">
                  <c:v>6.1394661075409251</c:v>
                </c:pt>
                <c:pt idx="272">
                  <c:v>6.3809939499798878</c:v>
                </c:pt>
                <c:pt idx="273">
                  <c:v>6.6314845889034864</c:v>
                </c:pt>
                <c:pt idx="274">
                  <c:v>6.627999056937238</c:v>
                </c:pt>
                <c:pt idx="275">
                  <c:v>7.6895989228871535</c:v>
                </c:pt>
                <c:pt idx="276">
                  <c:v>6.6319825220415218</c:v>
                </c:pt>
                <c:pt idx="277">
                  <c:v>6.6080817314158224</c:v>
                </c:pt>
                <c:pt idx="278">
                  <c:v>6.3715332203572155</c:v>
                </c:pt>
                <c:pt idx="279">
                  <c:v>5.5604239933309003</c:v>
                </c:pt>
                <c:pt idx="280">
                  <c:v>4.438076284540668</c:v>
                </c:pt>
                <c:pt idx="281">
                  <c:v>6.6135589959342127</c:v>
                </c:pt>
                <c:pt idx="282">
                  <c:v>6.3934422784307721</c:v>
                </c:pt>
                <c:pt idx="283">
                  <c:v>6.624015591832956</c:v>
                </c:pt>
                <c:pt idx="284">
                  <c:v>5.2949953602662392</c:v>
                </c:pt>
                <c:pt idx="285">
                  <c:v>5.3034602236128405</c:v>
                </c:pt>
                <c:pt idx="286">
                  <c:v>5.5494694642941216</c:v>
                </c:pt>
                <c:pt idx="287">
                  <c:v>6.377010484875604</c:v>
                </c:pt>
                <c:pt idx="288">
                  <c:v>2.2695646370796196</c:v>
                </c:pt>
                <c:pt idx="289">
                  <c:v>6.4038988743295153</c:v>
                </c:pt>
                <c:pt idx="290">
                  <c:v>4.4589894763381546</c:v>
                </c:pt>
                <c:pt idx="291">
                  <c:v>4.4555039443719071</c:v>
                </c:pt>
                <c:pt idx="292">
                  <c:v>5.5474777317419797</c:v>
                </c:pt>
                <c:pt idx="293">
                  <c:v>5.514116211493608</c:v>
                </c:pt>
                <c:pt idx="294">
                  <c:v>4.4460432147492348</c:v>
                </c:pt>
                <c:pt idx="295">
                  <c:v>6.376014618599533</c:v>
                </c:pt>
                <c:pt idx="296">
                  <c:v>4.4555039443719071</c:v>
                </c:pt>
                <c:pt idx="297">
                  <c:v>4.4440514821970929</c:v>
                </c:pt>
                <c:pt idx="298">
                  <c:v>6.3685456215290026</c:v>
                </c:pt>
                <c:pt idx="299">
                  <c:v>5.534531470153059</c:v>
                </c:pt>
                <c:pt idx="300">
                  <c:v>5.3283568805146109</c:v>
                </c:pt>
                <c:pt idx="301">
                  <c:v>4.44106388336888</c:v>
                </c:pt>
                <c:pt idx="302">
                  <c:v>4.4415618165069155</c:v>
                </c:pt>
                <c:pt idx="303">
                  <c:v>4.463470874580473</c:v>
                </c:pt>
                <c:pt idx="304">
                  <c:v>5.5180996765978918</c:v>
                </c:pt>
                <c:pt idx="305">
                  <c:v>6.6255093912470615</c:v>
                </c:pt>
                <c:pt idx="306">
                  <c:v>5.5290542056346705</c:v>
                </c:pt>
                <c:pt idx="307">
                  <c:v>2.277531567288186</c:v>
                </c:pt>
                <c:pt idx="308">
                  <c:v>6.3705373540811445</c:v>
                </c:pt>
                <c:pt idx="309">
                  <c:v>6.1434495726452072</c:v>
                </c:pt>
                <c:pt idx="310">
                  <c:v>4.4465411478872703</c:v>
                </c:pt>
                <c:pt idx="311">
                  <c:v>6.1514165028537739</c:v>
                </c:pt>
                <c:pt idx="312">
                  <c:v>4.4560018775099426</c:v>
                </c:pt>
                <c:pt idx="313">
                  <c:v>6.6235176586949205</c:v>
                </c:pt>
                <c:pt idx="314">
                  <c:v>5.2880242963337443</c:v>
                </c:pt>
                <c:pt idx="315">
                  <c:v>5.3004726247846286</c:v>
                </c:pt>
                <c:pt idx="316">
                  <c:v>5.300970557922664</c:v>
                </c:pt>
                <c:pt idx="317">
                  <c:v>6.3929443452927366</c:v>
                </c:pt>
                <c:pt idx="318">
                  <c:v>3.9575102653529206</c:v>
                </c:pt>
                <c:pt idx="319">
                  <c:v>5.5514611968462626</c:v>
                </c:pt>
                <c:pt idx="320">
                  <c:v>4.4435535490590574</c:v>
                </c:pt>
                <c:pt idx="321">
                  <c:v>5.5375190689812719</c:v>
                </c:pt>
                <c:pt idx="322">
                  <c:v>6.3695414878050736</c:v>
                </c:pt>
                <c:pt idx="323">
                  <c:v>2.2735481021839026</c:v>
                </c:pt>
                <c:pt idx="324">
                  <c:v>5.2870284300576733</c:v>
                </c:pt>
                <c:pt idx="325">
                  <c:v>5.2949953602662392</c:v>
                </c:pt>
                <c:pt idx="326">
                  <c:v>4.4545080780958362</c:v>
                </c:pt>
                <c:pt idx="327">
                  <c:v>4.4555039443719071</c:v>
                </c:pt>
                <c:pt idx="328">
                  <c:v>5.5494694642941216</c:v>
                </c:pt>
                <c:pt idx="329">
                  <c:v>5.5380170021193074</c:v>
                </c:pt>
                <c:pt idx="330">
                  <c:v>6.6110693302440353</c:v>
                </c:pt>
                <c:pt idx="331">
                  <c:v>4.4540101449578007</c:v>
                </c:pt>
                <c:pt idx="332">
                  <c:v>4.439072150816739</c:v>
                </c:pt>
                <c:pt idx="333">
                  <c:v>4.436084551988527</c:v>
                </c:pt>
                <c:pt idx="334">
                  <c:v>6.6045961994495759</c:v>
                </c:pt>
                <c:pt idx="335">
                  <c:v>6.3939402115688075</c:v>
                </c:pt>
                <c:pt idx="336">
                  <c:v>6.6125631296581417</c:v>
                </c:pt>
                <c:pt idx="337">
                  <c:v>6.1379723081268187</c:v>
                </c:pt>
                <c:pt idx="338">
                  <c:v>5.5375190689812719</c:v>
                </c:pt>
                <c:pt idx="339">
                  <c:v>6.6185383273145657</c:v>
                </c:pt>
                <c:pt idx="340">
                  <c:v>5.5424984003616258</c:v>
                </c:pt>
                <c:pt idx="341">
                  <c:v>2.276535701012115</c:v>
                </c:pt>
                <c:pt idx="342">
                  <c:v>6.372031153495251</c:v>
                </c:pt>
                <c:pt idx="343">
                  <c:v>6.6090775976918934</c:v>
                </c:pt>
                <c:pt idx="344">
                  <c:v>6.370039420943109</c:v>
                </c:pt>
                <c:pt idx="345">
                  <c:v>6.6459246499065125</c:v>
                </c:pt>
                <c:pt idx="346">
                  <c:v>6.1205446482955796</c:v>
                </c:pt>
                <c:pt idx="347">
                  <c:v>6.6095755308299289</c:v>
                </c:pt>
                <c:pt idx="348">
                  <c:v>2.2725522359078321</c:v>
                </c:pt>
                <c:pt idx="349">
                  <c:v>5.531543871324847</c:v>
                </c:pt>
                <c:pt idx="350">
                  <c:v>5.3079416218551598</c:v>
                </c:pt>
                <c:pt idx="351">
                  <c:v>2.2770336341501505</c:v>
                </c:pt>
                <c:pt idx="352">
                  <c:v>2.2869922969108583</c:v>
                </c:pt>
                <c:pt idx="353">
                  <c:v>2.2725522359078321</c:v>
                </c:pt>
                <c:pt idx="354">
                  <c:v>5.5270624730825286</c:v>
                </c:pt>
                <c:pt idx="355">
                  <c:v>5.532539737600918</c:v>
                </c:pt>
                <c:pt idx="356">
                  <c:v>6.6349701208697338</c:v>
                </c:pt>
                <c:pt idx="357">
                  <c:v>6.3804960168418523</c:v>
                </c:pt>
                <c:pt idx="358">
                  <c:v>4.4465411478872703</c:v>
                </c:pt>
                <c:pt idx="359">
                  <c:v>4.4520184124056588</c:v>
                </c:pt>
                <c:pt idx="360">
                  <c:v>2.2675729045274782</c:v>
                </c:pt>
                <c:pt idx="361">
                  <c:v>4.45948740947619</c:v>
                </c:pt>
                <c:pt idx="362">
                  <c:v>6.3809939499798878</c:v>
                </c:pt>
                <c:pt idx="363">
                  <c:v>4.437080418264598</c:v>
                </c:pt>
                <c:pt idx="364">
                  <c:v>6.6339742545936637</c:v>
                </c:pt>
                <c:pt idx="365">
                  <c:v>4.4465411478872703</c:v>
                </c:pt>
                <c:pt idx="366">
                  <c:v>6.1349847092986058</c:v>
                </c:pt>
                <c:pt idx="367">
                  <c:v>4.4435535490590574</c:v>
                </c:pt>
                <c:pt idx="368">
                  <c:v>6.6245135249709914</c:v>
                </c:pt>
                <c:pt idx="369">
                  <c:v>6.3799980837038168</c:v>
                </c:pt>
                <c:pt idx="370">
                  <c:v>6.1384702412648542</c:v>
                </c:pt>
                <c:pt idx="371">
                  <c:v>6.1305033110562874</c:v>
                </c:pt>
                <c:pt idx="372">
                  <c:v>6.6200321267286721</c:v>
                </c:pt>
                <c:pt idx="373">
                  <c:v>6.1549020348200214</c:v>
                </c:pt>
                <c:pt idx="374">
                  <c:v>4.2109885031047325</c:v>
                </c:pt>
                <c:pt idx="375">
                  <c:v>5.0435088550665688</c:v>
                </c:pt>
                <c:pt idx="376">
                  <c:v>2.277531567288186</c:v>
                </c:pt>
                <c:pt idx="377">
                  <c:v>6.3670518221148962</c:v>
                </c:pt>
                <c:pt idx="378">
                  <c:v>2.2879881631869292</c:v>
                </c:pt>
                <c:pt idx="379">
                  <c:v>6.6155507284863537</c:v>
                </c:pt>
                <c:pt idx="380">
                  <c:v>6.3864712144982763</c:v>
                </c:pt>
                <c:pt idx="381">
                  <c:v>6.3884629470504182</c:v>
                </c:pt>
                <c:pt idx="382">
                  <c:v>2.2700625702176551</c:v>
                </c:pt>
                <c:pt idx="383">
                  <c:v>4.4395700839547745</c:v>
                </c:pt>
                <c:pt idx="384">
                  <c:v>6.6155507284863537</c:v>
                </c:pt>
                <c:pt idx="385">
                  <c:v>5.0489861195849572</c:v>
                </c:pt>
                <c:pt idx="386">
                  <c:v>6.6235176586949205</c:v>
                </c:pt>
                <c:pt idx="387">
                  <c:v>6.3819898162559587</c:v>
                </c:pt>
                <c:pt idx="388">
                  <c:v>6.1290095116421819</c:v>
                </c:pt>
                <c:pt idx="389">
                  <c:v>5.3034602236128405</c:v>
                </c:pt>
                <c:pt idx="390">
                  <c:v>6.1265198459520045</c:v>
                </c:pt>
                <c:pt idx="391">
                  <c:v>4.4415618165069155</c:v>
                </c:pt>
                <c:pt idx="392">
                  <c:v>4.4480349473013758</c:v>
                </c:pt>
                <c:pt idx="393">
                  <c:v>6.1245281133998626</c:v>
                </c:pt>
                <c:pt idx="394">
                  <c:v>6.6115672633820708</c:v>
                </c:pt>
                <c:pt idx="395">
                  <c:v>5.2939994939901682</c:v>
                </c:pt>
                <c:pt idx="396">
                  <c:v>4.44106388336888</c:v>
                </c:pt>
                <c:pt idx="397">
                  <c:v>6.3715332203572155</c:v>
                </c:pt>
                <c:pt idx="398">
                  <c:v>4.187087712479034</c:v>
                </c:pt>
                <c:pt idx="399">
                  <c:v>5.0360398579960384</c:v>
                </c:pt>
                <c:pt idx="400">
                  <c:v>2.2685687708035487</c:v>
                </c:pt>
                <c:pt idx="401">
                  <c:v>6.3809939499798878</c:v>
                </c:pt>
                <c:pt idx="402">
                  <c:v>5.533535603876989</c:v>
                </c:pt>
                <c:pt idx="403">
                  <c:v>6.1314991773323584</c:v>
                </c:pt>
                <c:pt idx="404">
                  <c:v>6.6384556528359813</c:v>
                </c:pt>
                <c:pt idx="405">
                  <c:v>5.300970557922664</c:v>
                </c:pt>
                <c:pt idx="406">
                  <c:v>5.2890201626098143</c:v>
                </c:pt>
                <c:pt idx="407">
                  <c:v>5.2959912265423101</c:v>
                </c:pt>
                <c:pt idx="408">
                  <c:v>5.2810532324012485</c:v>
                </c:pt>
                <c:pt idx="409">
                  <c:v>6.623019725556885</c:v>
                </c:pt>
                <c:pt idx="410">
                  <c:v>5.552954996260369</c:v>
                </c:pt>
                <c:pt idx="411">
                  <c:v>4.4560018775099426</c:v>
                </c:pt>
                <c:pt idx="412">
                  <c:v>5.5265645399444931</c:v>
                </c:pt>
                <c:pt idx="413">
                  <c:v>5.5320418044628825</c:v>
                </c:pt>
                <c:pt idx="414">
                  <c:v>4.4435535490590574</c:v>
                </c:pt>
                <c:pt idx="415">
                  <c:v>6.3869691476363117</c:v>
                </c:pt>
                <c:pt idx="416">
                  <c:v>6.3665538889768607</c:v>
                </c:pt>
                <c:pt idx="417">
                  <c:v>4.45948740947619</c:v>
                </c:pt>
                <c:pt idx="418">
                  <c:v>4.4465411478872703</c:v>
                </c:pt>
                <c:pt idx="419">
                  <c:v>5.5444901329137668</c:v>
                </c:pt>
                <c:pt idx="420">
                  <c:v>6.3874670807743472</c:v>
                </c:pt>
                <c:pt idx="421">
                  <c:v>6.1329929767464639</c:v>
                </c:pt>
                <c:pt idx="422">
                  <c:v>5.5365232027052009</c:v>
                </c:pt>
                <c:pt idx="423">
                  <c:v>6.3859732813602408</c:v>
                </c:pt>
                <c:pt idx="424">
                  <c:v>4.4435535490590574</c:v>
                </c:pt>
                <c:pt idx="425">
                  <c:v>6.397425743535055</c:v>
                </c:pt>
                <c:pt idx="426">
                  <c:v>4.4520184124056588</c:v>
                </c:pt>
                <c:pt idx="427">
                  <c:v>6.1384702412648542</c:v>
                </c:pt>
                <c:pt idx="428">
                  <c:v>6.1319971104703939</c:v>
                </c:pt>
                <c:pt idx="429">
                  <c:v>5.5235769411162812</c:v>
                </c:pt>
                <c:pt idx="430">
                  <c:v>6.6140569290722482</c:v>
                </c:pt>
                <c:pt idx="431">
                  <c:v>5.5255686736684222</c:v>
                </c:pt>
                <c:pt idx="432">
                  <c:v>6.3630683570106132</c:v>
                </c:pt>
                <c:pt idx="433">
                  <c:v>6.4068864731577273</c:v>
                </c:pt>
                <c:pt idx="434">
                  <c:v>6.4088782057098692</c:v>
                </c:pt>
                <c:pt idx="435">
                  <c:v>5.5464818654659087</c:v>
                </c:pt>
                <c:pt idx="436">
                  <c:v>5.5270624730825286</c:v>
                </c:pt>
                <c:pt idx="437">
                  <c:v>5.533535603876989</c:v>
                </c:pt>
                <c:pt idx="438">
                  <c:v>4.4316031537462077</c:v>
                </c:pt>
                <c:pt idx="439">
                  <c:v>5.530548005048777</c:v>
                </c:pt>
                <c:pt idx="440">
                  <c:v>6.6419411848022296</c:v>
                </c:pt>
                <c:pt idx="441">
                  <c:v>6.1384702412648542</c:v>
                </c:pt>
                <c:pt idx="442">
                  <c:v>5.2900160288858853</c:v>
                </c:pt>
                <c:pt idx="443">
                  <c:v>4.4480349473013758</c:v>
                </c:pt>
                <c:pt idx="444">
                  <c:v>6.6125631296581417</c:v>
                </c:pt>
                <c:pt idx="445">
                  <c:v>5.3094354212692654</c:v>
                </c:pt>
                <c:pt idx="446">
                  <c:v>4.4475370141633412</c:v>
                </c:pt>
                <c:pt idx="447">
                  <c:v>5.2800573661251775</c:v>
                </c:pt>
                <c:pt idx="448">
                  <c:v>6.6299907894893799</c:v>
                </c:pt>
                <c:pt idx="449">
                  <c:v>5.5180996765978918</c:v>
                </c:pt>
                <c:pt idx="450">
                  <c:v>6.3904546796025601</c:v>
                </c:pt>
                <c:pt idx="451">
                  <c:v>5.5589301939167939</c:v>
                </c:pt>
                <c:pt idx="452">
                  <c:v>2.2700625702176551</c:v>
                </c:pt>
                <c:pt idx="453">
                  <c:v>6.3610766244584722</c:v>
                </c:pt>
                <c:pt idx="454">
                  <c:v>4.4550060112338716</c:v>
                </c:pt>
                <c:pt idx="455">
                  <c:v>6.1235322471237916</c:v>
                </c:pt>
                <c:pt idx="456">
                  <c:v>6.3864712144982763</c:v>
                </c:pt>
                <c:pt idx="457">
                  <c:v>4.45948740947619</c:v>
                </c:pt>
                <c:pt idx="458">
                  <c:v>6.6379577196979458</c:v>
                </c:pt>
                <c:pt idx="459">
                  <c:v>6.147433037749491</c:v>
                </c:pt>
                <c:pt idx="460">
                  <c:v>7.7199728443073123</c:v>
                </c:pt>
                <c:pt idx="461">
                  <c:v>5.5275604062205641</c:v>
                </c:pt>
                <c:pt idx="462">
                  <c:v>5.530548005048777</c:v>
                </c:pt>
                <c:pt idx="463">
                  <c:v>5.5310459381868124</c:v>
                </c:pt>
                <c:pt idx="464">
                  <c:v>2.2934654277053181</c:v>
                </c:pt>
                <c:pt idx="465">
                  <c:v>5.5375190689812719</c:v>
                </c:pt>
                <c:pt idx="466">
                  <c:v>5.5405066678094848</c:v>
                </c:pt>
                <c:pt idx="467">
                  <c:v>6.3954340109829131</c:v>
                </c:pt>
                <c:pt idx="468">
                  <c:v>5.5275604062205641</c:v>
                </c:pt>
                <c:pt idx="469">
                  <c:v>6.6334763214556283</c:v>
                </c:pt>
                <c:pt idx="470">
                  <c:v>5.534531470153059</c:v>
                </c:pt>
                <c:pt idx="471">
                  <c:v>5.5285562724966351</c:v>
                </c:pt>
                <c:pt idx="472">
                  <c:v>6.1369764418507478</c:v>
                </c:pt>
                <c:pt idx="473">
                  <c:v>6.6324804551795573</c:v>
                </c:pt>
                <c:pt idx="474">
                  <c:v>6.376014618599533</c:v>
                </c:pt>
                <c:pt idx="475">
                  <c:v>5.5210872754261047</c:v>
                </c:pt>
                <c:pt idx="476">
                  <c:v>6.377010484875604</c:v>
                </c:pt>
                <c:pt idx="477">
                  <c:v>4.4460432147492348</c:v>
                </c:pt>
                <c:pt idx="478">
                  <c:v>6.6155507284863537</c:v>
                </c:pt>
                <c:pt idx="479">
                  <c:v>7.7100141815466046</c:v>
                </c:pt>
                <c:pt idx="480">
                  <c:v>5.2845387643674959</c:v>
                </c:pt>
                <c:pt idx="481">
                  <c:v>4.4525163455436942</c:v>
                </c:pt>
                <c:pt idx="482">
                  <c:v>7.7075245158564272</c:v>
                </c:pt>
                <c:pt idx="483">
                  <c:v>6.6180403941765302</c:v>
                </c:pt>
                <c:pt idx="484">
                  <c:v>6.3685456215290026</c:v>
                </c:pt>
                <c:pt idx="485">
                  <c:v>6.3695414878050736</c:v>
                </c:pt>
                <c:pt idx="486">
                  <c:v>6.3899567464645246</c:v>
                </c:pt>
                <c:pt idx="487">
                  <c:v>2.2929674945672831</c:v>
                </c:pt>
                <c:pt idx="488">
                  <c:v>6.3949360778448776</c:v>
                </c:pt>
                <c:pt idx="489">
                  <c:v>5.2905139620239208</c:v>
                </c:pt>
                <c:pt idx="490">
                  <c:v>5.5225810748402102</c:v>
                </c:pt>
                <c:pt idx="491">
                  <c:v>2.2760377678740795</c:v>
                </c:pt>
                <c:pt idx="492">
                  <c:v>4.4425576827829865</c:v>
                </c:pt>
                <c:pt idx="493">
                  <c:v>5.2840408312294604</c:v>
                </c:pt>
                <c:pt idx="494">
                  <c:v>6.1414578400930662</c:v>
                </c:pt>
                <c:pt idx="495">
                  <c:v>4.4480349473013758</c:v>
                </c:pt>
                <c:pt idx="496">
                  <c:v>4.4913551303104544</c:v>
                </c:pt>
                <c:pt idx="497">
                  <c:v>5.3034602236128405</c:v>
                </c:pt>
                <c:pt idx="498">
                  <c:v>6.3695414878050736</c:v>
                </c:pt>
                <c:pt idx="499">
                  <c:v>6.391450545878631</c:v>
                </c:pt>
              </c:numCache>
            </c:numRef>
          </c:yVal>
          <c:smooth val="0"/>
          <c:extLst>
            <c:ext xmlns:c16="http://schemas.microsoft.com/office/drawing/2014/chart" uri="{C3380CC4-5D6E-409C-BE32-E72D297353CC}">
              <c16:uniqueId val="{00000002-5CBB-475C-88FB-D2BC6C981255}"/>
            </c:ext>
          </c:extLst>
        </c:ser>
        <c:dLbls>
          <c:showLegendKey val="0"/>
          <c:showVal val="0"/>
          <c:showCatName val="0"/>
          <c:showSerName val="0"/>
          <c:showPercent val="0"/>
          <c:showBubbleSize val="0"/>
        </c:dLbls>
        <c:axId val="618053376"/>
        <c:axId val="618063936"/>
      </c:scatterChart>
      <c:valAx>
        <c:axId val="618053376"/>
        <c:scaling>
          <c:orientation val="minMax"/>
        </c:scaling>
        <c:delete val="0"/>
        <c:axPos val="b"/>
        <c:title>
          <c:tx>
            <c:rich>
              <a:bodyPr/>
              <a:lstStyle/>
              <a:p>
                <a:pPr>
                  <a:defRPr/>
                </a:pPr>
                <a:r>
                  <a:rPr lang="en-GB"/>
                  <a:t>X9 Amount (£k)</a:t>
                </a:r>
              </a:p>
            </c:rich>
          </c:tx>
          <c:overlay val="0"/>
        </c:title>
        <c:numFmt formatCode="General" sourceLinked="1"/>
        <c:majorTickMark val="out"/>
        <c:minorTickMark val="none"/>
        <c:tickLblPos val="nextTo"/>
        <c:crossAx val="618063936"/>
        <c:crosses val="autoZero"/>
        <c:crossBetween val="midCat"/>
      </c:valAx>
      <c:valAx>
        <c:axId val="618063936"/>
        <c:scaling>
          <c:orientation val="minMax"/>
        </c:scaling>
        <c:delete val="0"/>
        <c:axPos val="l"/>
        <c:title>
          <c:tx>
            <c:rich>
              <a:bodyPr/>
              <a:lstStyle/>
              <a:p>
                <a:pPr>
                  <a:defRPr/>
                </a:pPr>
                <a:r>
                  <a:rPr lang="en-GB"/>
                  <a:t>Y Lead Time (days)</a:t>
                </a:r>
              </a:p>
            </c:rich>
          </c:tx>
          <c:overlay val="0"/>
        </c:title>
        <c:numFmt formatCode="General" sourceLinked="1"/>
        <c:majorTickMark val="out"/>
        <c:minorTickMark val="none"/>
        <c:tickLblPos val="nextTo"/>
        <c:crossAx val="618053376"/>
        <c:crosses val="autoZero"/>
        <c:crossBetween val="midCat"/>
      </c:valAx>
    </c:plotArea>
    <c:legend>
      <c:legendPos val="r"/>
      <c:overlay val="0"/>
    </c:legend>
    <c:plotVisOnly val="1"/>
    <c:dispBlanksAs val="gap"/>
    <c:showDLblsOverMax val="0"/>
    <c:extLst>
      <c:ext xmlns:c16r3="http://schemas.microsoft.com/office/drawing/2017/03/chart" uri="{56B9EC1D-385E-4148-901F-78D8002777C0}">
        <c16r3:dataDisplayOptions16>
          <c16r3:dispNaAsBlank val="1"/>
        </c16r3:dataDisplayOptions16>
      </c:ext>
    </c:extLst>
  </c:chart>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X10 Approval Time (days) Line Fit  Plot</a:t>
            </a:r>
          </a:p>
        </c:rich>
      </c:tx>
      <c:overlay val="0"/>
    </c:title>
    <c:autoTitleDeleted val="0"/>
    <c:plotArea>
      <c:layout/>
      <c:scatterChart>
        <c:scatterStyle val="lineMarker"/>
        <c:varyColors val="0"/>
        <c:ser>
          <c:idx val="0"/>
          <c:order val="0"/>
          <c:tx>
            <c:v>Y Lead Time (days)</c:v>
          </c:tx>
          <c:spPr>
            <a:ln w="19050">
              <a:noFill/>
            </a:ln>
          </c:spPr>
          <c:xVal>
            <c:numRef>
              <c:f>Regression!$C$4:$C$503</c:f>
              <c:numCache>
                <c:formatCode>General</c:formatCode>
                <c:ptCount val="500"/>
                <c:pt idx="0">
                  <c:v>2</c:v>
                </c:pt>
                <c:pt idx="1">
                  <c:v>5</c:v>
                </c:pt>
                <c:pt idx="2">
                  <c:v>4</c:v>
                </c:pt>
                <c:pt idx="3">
                  <c:v>3</c:v>
                </c:pt>
                <c:pt idx="4">
                  <c:v>3</c:v>
                </c:pt>
                <c:pt idx="5">
                  <c:v>3</c:v>
                </c:pt>
                <c:pt idx="6">
                  <c:v>2</c:v>
                </c:pt>
                <c:pt idx="7">
                  <c:v>2</c:v>
                </c:pt>
                <c:pt idx="8">
                  <c:v>2</c:v>
                </c:pt>
                <c:pt idx="9">
                  <c:v>2</c:v>
                </c:pt>
                <c:pt idx="10">
                  <c:v>2</c:v>
                </c:pt>
                <c:pt idx="11">
                  <c:v>4</c:v>
                </c:pt>
                <c:pt idx="12">
                  <c:v>3</c:v>
                </c:pt>
                <c:pt idx="13">
                  <c:v>4</c:v>
                </c:pt>
                <c:pt idx="14">
                  <c:v>4</c:v>
                </c:pt>
                <c:pt idx="15">
                  <c:v>4</c:v>
                </c:pt>
                <c:pt idx="16">
                  <c:v>4</c:v>
                </c:pt>
                <c:pt idx="17">
                  <c:v>5</c:v>
                </c:pt>
                <c:pt idx="18">
                  <c:v>5</c:v>
                </c:pt>
                <c:pt idx="19">
                  <c:v>4</c:v>
                </c:pt>
                <c:pt idx="20">
                  <c:v>3</c:v>
                </c:pt>
                <c:pt idx="21">
                  <c:v>3</c:v>
                </c:pt>
                <c:pt idx="22">
                  <c:v>0</c:v>
                </c:pt>
                <c:pt idx="23">
                  <c:v>4</c:v>
                </c:pt>
                <c:pt idx="24">
                  <c:v>4</c:v>
                </c:pt>
                <c:pt idx="25">
                  <c:v>2</c:v>
                </c:pt>
                <c:pt idx="26">
                  <c:v>0</c:v>
                </c:pt>
                <c:pt idx="27">
                  <c:v>5</c:v>
                </c:pt>
                <c:pt idx="28">
                  <c:v>4</c:v>
                </c:pt>
                <c:pt idx="29">
                  <c:v>3</c:v>
                </c:pt>
                <c:pt idx="30">
                  <c:v>5</c:v>
                </c:pt>
                <c:pt idx="31">
                  <c:v>4</c:v>
                </c:pt>
                <c:pt idx="32">
                  <c:v>2</c:v>
                </c:pt>
                <c:pt idx="33">
                  <c:v>2</c:v>
                </c:pt>
                <c:pt idx="34">
                  <c:v>4</c:v>
                </c:pt>
                <c:pt idx="35">
                  <c:v>3</c:v>
                </c:pt>
                <c:pt idx="36">
                  <c:v>4</c:v>
                </c:pt>
                <c:pt idx="37">
                  <c:v>4</c:v>
                </c:pt>
                <c:pt idx="38">
                  <c:v>3</c:v>
                </c:pt>
                <c:pt idx="39">
                  <c:v>0</c:v>
                </c:pt>
                <c:pt idx="40">
                  <c:v>4</c:v>
                </c:pt>
                <c:pt idx="41">
                  <c:v>4</c:v>
                </c:pt>
                <c:pt idx="42">
                  <c:v>4</c:v>
                </c:pt>
                <c:pt idx="43">
                  <c:v>3</c:v>
                </c:pt>
                <c:pt idx="44">
                  <c:v>4</c:v>
                </c:pt>
                <c:pt idx="45">
                  <c:v>4</c:v>
                </c:pt>
                <c:pt idx="46">
                  <c:v>2</c:v>
                </c:pt>
                <c:pt idx="47">
                  <c:v>0</c:v>
                </c:pt>
                <c:pt idx="48">
                  <c:v>2</c:v>
                </c:pt>
                <c:pt idx="49">
                  <c:v>5</c:v>
                </c:pt>
                <c:pt idx="50">
                  <c:v>0</c:v>
                </c:pt>
                <c:pt idx="51">
                  <c:v>3</c:v>
                </c:pt>
                <c:pt idx="52">
                  <c:v>4</c:v>
                </c:pt>
                <c:pt idx="53">
                  <c:v>4</c:v>
                </c:pt>
                <c:pt idx="54">
                  <c:v>4</c:v>
                </c:pt>
                <c:pt idx="55">
                  <c:v>0</c:v>
                </c:pt>
                <c:pt idx="56">
                  <c:v>4</c:v>
                </c:pt>
                <c:pt idx="57">
                  <c:v>4</c:v>
                </c:pt>
                <c:pt idx="58">
                  <c:v>4</c:v>
                </c:pt>
                <c:pt idx="59">
                  <c:v>0</c:v>
                </c:pt>
                <c:pt idx="60">
                  <c:v>4</c:v>
                </c:pt>
                <c:pt idx="61">
                  <c:v>3</c:v>
                </c:pt>
                <c:pt idx="62">
                  <c:v>2</c:v>
                </c:pt>
                <c:pt idx="63">
                  <c:v>4</c:v>
                </c:pt>
                <c:pt idx="64">
                  <c:v>3</c:v>
                </c:pt>
                <c:pt idx="65">
                  <c:v>2</c:v>
                </c:pt>
                <c:pt idx="66">
                  <c:v>4</c:v>
                </c:pt>
                <c:pt idx="67">
                  <c:v>4</c:v>
                </c:pt>
                <c:pt idx="68">
                  <c:v>3</c:v>
                </c:pt>
                <c:pt idx="69">
                  <c:v>3</c:v>
                </c:pt>
                <c:pt idx="70">
                  <c:v>2</c:v>
                </c:pt>
                <c:pt idx="71">
                  <c:v>4</c:v>
                </c:pt>
                <c:pt idx="72">
                  <c:v>3</c:v>
                </c:pt>
                <c:pt idx="73">
                  <c:v>4</c:v>
                </c:pt>
                <c:pt idx="74">
                  <c:v>3</c:v>
                </c:pt>
                <c:pt idx="75">
                  <c:v>3</c:v>
                </c:pt>
                <c:pt idx="76">
                  <c:v>4</c:v>
                </c:pt>
                <c:pt idx="77">
                  <c:v>3</c:v>
                </c:pt>
                <c:pt idx="78">
                  <c:v>4</c:v>
                </c:pt>
                <c:pt idx="79">
                  <c:v>2</c:v>
                </c:pt>
                <c:pt idx="80">
                  <c:v>4</c:v>
                </c:pt>
                <c:pt idx="81">
                  <c:v>0</c:v>
                </c:pt>
                <c:pt idx="82">
                  <c:v>4</c:v>
                </c:pt>
                <c:pt idx="83">
                  <c:v>4</c:v>
                </c:pt>
                <c:pt idx="84">
                  <c:v>2</c:v>
                </c:pt>
                <c:pt idx="85">
                  <c:v>2</c:v>
                </c:pt>
                <c:pt idx="86">
                  <c:v>4</c:v>
                </c:pt>
                <c:pt idx="87">
                  <c:v>3</c:v>
                </c:pt>
                <c:pt idx="88">
                  <c:v>3</c:v>
                </c:pt>
                <c:pt idx="89">
                  <c:v>4</c:v>
                </c:pt>
                <c:pt idx="90">
                  <c:v>4</c:v>
                </c:pt>
                <c:pt idx="91">
                  <c:v>2</c:v>
                </c:pt>
                <c:pt idx="92">
                  <c:v>0</c:v>
                </c:pt>
                <c:pt idx="93">
                  <c:v>2</c:v>
                </c:pt>
                <c:pt idx="94">
                  <c:v>4</c:v>
                </c:pt>
                <c:pt idx="95">
                  <c:v>3</c:v>
                </c:pt>
                <c:pt idx="96">
                  <c:v>4</c:v>
                </c:pt>
                <c:pt idx="97">
                  <c:v>3</c:v>
                </c:pt>
                <c:pt idx="98">
                  <c:v>3</c:v>
                </c:pt>
                <c:pt idx="99">
                  <c:v>4</c:v>
                </c:pt>
                <c:pt idx="100">
                  <c:v>4</c:v>
                </c:pt>
                <c:pt idx="101">
                  <c:v>4</c:v>
                </c:pt>
                <c:pt idx="102">
                  <c:v>4</c:v>
                </c:pt>
                <c:pt idx="103">
                  <c:v>4</c:v>
                </c:pt>
                <c:pt idx="104">
                  <c:v>4</c:v>
                </c:pt>
                <c:pt idx="105">
                  <c:v>4</c:v>
                </c:pt>
                <c:pt idx="106">
                  <c:v>4</c:v>
                </c:pt>
                <c:pt idx="107">
                  <c:v>4</c:v>
                </c:pt>
                <c:pt idx="108">
                  <c:v>4</c:v>
                </c:pt>
                <c:pt idx="109">
                  <c:v>3</c:v>
                </c:pt>
                <c:pt idx="110">
                  <c:v>4</c:v>
                </c:pt>
                <c:pt idx="111">
                  <c:v>3</c:v>
                </c:pt>
                <c:pt idx="112">
                  <c:v>2</c:v>
                </c:pt>
                <c:pt idx="113">
                  <c:v>0</c:v>
                </c:pt>
                <c:pt idx="114">
                  <c:v>2</c:v>
                </c:pt>
                <c:pt idx="115">
                  <c:v>0</c:v>
                </c:pt>
                <c:pt idx="116">
                  <c:v>3</c:v>
                </c:pt>
                <c:pt idx="117">
                  <c:v>2</c:v>
                </c:pt>
                <c:pt idx="118">
                  <c:v>4</c:v>
                </c:pt>
                <c:pt idx="119">
                  <c:v>4</c:v>
                </c:pt>
                <c:pt idx="120">
                  <c:v>4</c:v>
                </c:pt>
                <c:pt idx="121">
                  <c:v>4</c:v>
                </c:pt>
                <c:pt idx="122">
                  <c:v>0</c:v>
                </c:pt>
                <c:pt idx="123">
                  <c:v>5</c:v>
                </c:pt>
                <c:pt idx="124">
                  <c:v>3</c:v>
                </c:pt>
                <c:pt idx="125">
                  <c:v>3</c:v>
                </c:pt>
                <c:pt idx="126">
                  <c:v>2</c:v>
                </c:pt>
                <c:pt idx="127">
                  <c:v>4</c:v>
                </c:pt>
                <c:pt idx="128">
                  <c:v>3</c:v>
                </c:pt>
                <c:pt idx="129">
                  <c:v>0</c:v>
                </c:pt>
                <c:pt idx="130">
                  <c:v>4</c:v>
                </c:pt>
                <c:pt idx="131">
                  <c:v>3</c:v>
                </c:pt>
                <c:pt idx="132">
                  <c:v>4</c:v>
                </c:pt>
                <c:pt idx="133">
                  <c:v>4</c:v>
                </c:pt>
                <c:pt idx="134">
                  <c:v>0</c:v>
                </c:pt>
                <c:pt idx="135">
                  <c:v>0</c:v>
                </c:pt>
                <c:pt idx="136">
                  <c:v>0</c:v>
                </c:pt>
                <c:pt idx="137">
                  <c:v>2</c:v>
                </c:pt>
                <c:pt idx="138">
                  <c:v>2</c:v>
                </c:pt>
                <c:pt idx="139">
                  <c:v>4</c:v>
                </c:pt>
                <c:pt idx="140">
                  <c:v>4</c:v>
                </c:pt>
                <c:pt idx="141">
                  <c:v>4</c:v>
                </c:pt>
                <c:pt idx="142">
                  <c:v>4</c:v>
                </c:pt>
                <c:pt idx="143">
                  <c:v>2</c:v>
                </c:pt>
                <c:pt idx="144">
                  <c:v>0</c:v>
                </c:pt>
                <c:pt idx="145">
                  <c:v>4</c:v>
                </c:pt>
                <c:pt idx="146">
                  <c:v>3</c:v>
                </c:pt>
                <c:pt idx="147">
                  <c:v>0</c:v>
                </c:pt>
                <c:pt idx="148">
                  <c:v>3</c:v>
                </c:pt>
                <c:pt idx="149">
                  <c:v>0</c:v>
                </c:pt>
                <c:pt idx="150">
                  <c:v>2</c:v>
                </c:pt>
                <c:pt idx="151">
                  <c:v>2</c:v>
                </c:pt>
                <c:pt idx="152">
                  <c:v>2</c:v>
                </c:pt>
                <c:pt idx="153">
                  <c:v>4</c:v>
                </c:pt>
                <c:pt idx="154">
                  <c:v>2</c:v>
                </c:pt>
                <c:pt idx="155">
                  <c:v>3</c:v>
                </c:pt>
                <c:pt idx="156">
                  <c:v>4</c:v>
                </c:pt>
                <c:pt idx="157">
                  <c:v>3</c:v>
                </c:pt>
                <c:pt idx="158">
                  <c:v>2</c:v>
                </c:pt>
                <c:pt idx="159">
                  <c:v>2</c:v>
                </c:pt>
                <c:pt idx="160">
                  <c:v>3</c:v>
                </c:pt>
                <c:pt idx="161">
                  <c:v>2</c:v>
                </c:pt>
                <c:pt idx="162">
                  <c:v>3</c:v>
                </c:pt>
                <c:pt idx="163">
                  <c:v>4</c:v>
                </c:pt>
                <c:pt idx="164">
                  <c:v>3</c:v>
                </c:pt>
                <c:pt idx="165">
                  <c:v>4</c:v>
                </c:pt>
                <c:pt idx="166">
                  <c:v>3</c:v>
                </c:pt>
                <c:pt idx="167">
                  <c:v>2</c:v>
                </c:pt>
                <c:pt idx="168">
                  <c:v>2</c:v>
                </c:pt>
                <c:pt idx="169">
                  <c:v>4</c:v>
                </c:pt>
                <c:pt idx="170">
                  <c:v>2</c:v>
                </c:pt>
                <c:pt idx="171">
                  <c:v>4</c:v>
                </c:pt>
                <c:pt idx="172">
                  <c:v>4</c:v>
                </c:pt>
                <c:pt idx="173">
                  <c:v>3</c:v>
                </c:pt>
                <c:pt idx="174">
                  <c:v>3</c:v>
                </c:pt>
                <c:pt idx="175">
                  <c:v>4</c:v>
                </c:pt>
                <c:pt idx="176">
                  <c:v>4</c:v>
                </c:pt>
                <c:pt idx="177">
                  <c:v>0</c:v>
                </c:pt>
                <c:pt idx="178">
                  <c:v>3</c:v>
                </c:pt>
                <c:pt idx="179">
                  <c:v>2</c:v>
                </c:pt>
                <c:pt idx="180">
                  <c:v>3</c:v>
                </c:pt>
                <c:pt idx="181">
                  <c:v>4</c:v>
                </c:pt>
                <c:pt idx="182">
                  <c:v>4</c:v>
                </c:pt>
                <c:pt idx="183">
                  <c:v>3</c:v>
                </c:pt>
                <c:pt idx="184">
                  <c:v>0</c:v>
                </c:pt>
                <c:pt idx="185">
                  <c:v>2</c:v>
                </c:pt>
                <c:pt idx="186">
                  <c:v>4</c:v>
                </c:pt>
                <c:pt idx="187">
                  <c:v>4</c:v>
                </c:pt>
                <c:pt idx="188">
                  <c:v>4</c:v>
                </c:pt>
                <c:pt idx="189">
                  <c:v>3</c:v>
                </c:pt>
                <c:pt idx="190">
                  <c:v>3</c:v>
                </c:pt>
                <c:pt idx="191">
                  <c:v>4</c:v>
                </c:pt>
                <c:pt idx="192">
                  <c:v>0</c:v>
                </c:pt>
                <c:pt idx="193">
                  <c:v>4</c:v>
                </c:pt>
                <c:pt idx="194">
                  <c:v>4</c:v>
                </c:pt>
                <c:pt idx="195">
                  <c:v>4</c:v>
                </c:pt>
                <c:pt idx="196">
                  <c:v>0</c:v>
                </c:pt>
                <c:pt idx="197">
                  <c:v>4</c:v>
                </c:pt>
                <c:pt idx="198">
                  <c:v>2</c:v>
                </c:pt>
                <c:pt idx="199">
                  <c:v>4</c:v>
                </c:pt>
                <c:pt idx="200">
                  <c:v>0</c:v>
                </c:pt>
                <c:pt idx="201">
                  <c:v>3</c:v>
                </c:pt>
                <c:pt idx="202">
                  <c:v>3</c:v>
                </c:pt>
                <c:pt idx="203">
                  <c:v>4</c:v>
                </c:pt>
                <c:pt idx="204">
                  <c:v>4</c:v>
                </c:pt>
                <c:pt idx="205">
                  <c:v>5</c:v>
                </c:pt>
                <c:pt idx="206">
                  <c:v>3</c:v>
                </c:pt>
                <c:pt idx="207">
                  <c:v>4</c:v>
                </c:pt>
                <c:pt idx="208">
                  <c:v>0</c:v>
                </c:pt>
                <c:pt idx="209">
                  <c:v>3</c:v>
                </c:pt>
                <c:pt idx="210">
                  <c:v>3</c:v>
                </c:pt>
                <c:pt idx="211">
                  <c:v>3</c:v>
                </c:pt>
                <c:pt idx="212">
                  <c:v>2</c:v>
                </c:pt>
                <c:pt idx="213">
                  <c:v>2</c:v>
                </c:pt>
                <c:pt idx="214">
                  <c:v>3</c:v>
                </c:pt>
                <c:pt idx="215">
                  <c:v>4</c:v>
                </c:pt>
                <c:pt idx="216">
                  <c:v>2</c:v>
                </c:pt>
                <c:pt idx="217">
                  <c:v>2</c:v>
                </c:pt>
                <c:pt idx="218">
                  <c:v>4</c:v>
                </c:pt>
                <c:pt idx="219">
                  <c:v>3</c:v>
                </c:pt>
                <c:pt idx="220">
                  <c:v>0</c:v>
                </c:pt>
                <c:pt idx="221">
                  <c:v>2</c:v>
                </c:pt>
                <c:pt idx="222">
                  <c:v>2</c:v>
                </c:pt>
                <c:pt idx="223">
                  <c:v>4</c:v>
                </c:pt>
                <c:pt idx="224">
                  <c:v>4</c:v>
                </c:pt>
                <c:pt idx="225">
                  <c:v>4</c:v>
                </c:pt>
                <c:pt idx="226">
                  <c:v>4</c:v>
                </c:pt>
                <c:pt idx="227">
                  <c:v>2</c:v>
                </c:pt>
                <c:pt idx="228">
                  <c:v>4</c:v>
                </c:pt>
                <c:pt idx="229">
                  <c:v>4</c:v>
                </c:pt>
                <c:pt idx="230">
                  <c:v>4</c:v>
                </c:pt>
                <c:pt idx="231">
                  <c:v>4</c:v>
                </c:pt>
                <c:pt idx="232">
                  <c:v>3</c:v>
                </c:pt>
                <c:pt idx="233">
                  <c:v>4</c:v>
                </c:pt>
                <c:pt idx="234">
                  <c:v>4</c:v>
                </c:pt>
                <c:pt idx="235">
                  <c:v>0</c:v>
                </c:pt>
                <c:pt idx="236">
                  <c:v>3</c:v>
                </c:pt>
                <c:pt idx="237">
                  <c:v>2</c:v>
                </c:pt>
                <c:pt idx="238">
                  <c:v>3</c:v>
                </c:pt>
                <c:pt idx="239">
                  <c:v>4</c:v>
                </c:pt>
                <c:pt idx="240">
                  <c:v>0</c:v>
                </c:pt>
                <c:pt idx="241">
                  <c:v>4</c:v>
                </c:pt>
                <c:pt idx="242">
                  <c:v>3</c:v>
                </c:pt>
                <c:pt idx="243">
                  <c:v>4</c:v>
                </c:pt>
                <c:pt idx="244">
                  <c:v>4</c:v>
                </c:pt>
                <c:pt idx="245">
                  <c:v>3</c:v>
                </c:pt>
                <c:pt idx="246">
                  <c:v>0</c:v>
                </c:pt>
                <c:pt idx="247">
                  <c:v>3</c:v>
                </c:pt>
                <c:pt idx="248">
                  <c:v>4</c:v>
                </c:pt>
                <c:pt idx="249">
                  <c:v>4</c:v>
                </c:pt>
                <c:pt idx="250">
                  <c:v>4</c:v>
                </c:pt>
                <c:pt idx="251">
                  <c:v>4</c:v>
                </c:pt>
                <c:pt idx="252">
                  <c:v>3</c:v>
                </c:pt>
                <c:pt idx="253">
                  <c:v>4</c:v>
                </c:pt>
                <c:pt idx="254">
                  <c:v>4</c:v>
                </c:pt>
                <c:pt idx="255">
                  <c:v>0</c:v>
                </c:pt>
                <c:pt idx="256">
                  <c:v>3</c:v>
                </c:pt>
                <c:pt idx="257">
                  <c:v>4</c:v>
                </c:pt>
                <c:pt idx="258">
                  <c:v>4</c:v>
                </c:pt>
                <c:pt idx="259">
                  <c:v>4</c:v>
                </c:pt>
                <c:pt idx="260">
                  <c:v>2</c:v>
                </c:pt>
                <c:pt idx="261">
                  <c:v>2</c:v>
                </c:pt>
                <c:pt idx="262">
                  <c:v>4</c:v>
                </c:pt>
                <c:pt idx="263">
                  <c:v>0</c:v>
                </c:pt>
                <c:pt idx="264">
                  <c:v>4</c:v>
                </c:pt>
                <c:pt idx="265">
                  <c:v>4</c:v>
                </c:pt>
                <c:pt idx="266">
                  <c:v>3</c:v>
                </c:pt>
                <c:pt idx="267">
                  <c:v>4</c:v>
                </c:pt>
                <c:pt idx="268">
                  <c:v>5</c:v>
                </c:pt>
                <c:pt idx="269">
                  <c:v>4</c:v>
                </c:pt>
                <c:pt idx="270">
                  <c:v>2</c:v>
                </c:pt>
                <c:pt idx="271">
                  <c:v>4</c:v>
                </c:pt>
                <c:pt idx="272">
                  <c:v>4</c:v>
                </c:pt>
                <c:pt idx="273">
                  <c:v>4</c:v>
                </c:pt>
                <c:pt idx="274">
                  <c:v>4</c:v>
                </c:pt>
                <c:pt idx="275">
                  <c:v>5</c:v>
                </c:pt>
                <c:pt idx="276">
                  <c:v>4</c:v>
                </c:pt>
                <c:pt idx="277">
                  <c:v>4</c:v>
                </c:pt>
                <c:pt idx="278">
                  <c:v>4</c:v>
                </c:pt>
                <c:pt idx="279">
                  <c:v>3</c:v>
                </c:pt>
                <c:pt idx="280">
                  <c:v>2</c:v>
                </c:pt>
                <c:pt idx="281">
                  <c:v>4</c:v>
                </c:pt>
                <c:pt idx="282">
                  <c:v>4</c:v>
                </c:pt>
                <c:pt idx="283">
                  <c:v>4</c:v>
                </c:pt>
                <c:pt idx="284">
                  <c:v>3</c:v>
                </c:pt>
                <c:pt idx="285">
                  <c:v>3</c:v>
                </c:pt>
                <c:pt idx="286">
                  <c:v>3</c:v>
                </c:pt>
                <c:pt idx="287">
                  <c:v>4</c:v>
                </c:pt>
                <c:pt idx="288">
                  <c:v>0</c:v>
                </c:pt>
                <c:pt idx="289">
                  <c:v>4</c:v>
                </c:pt>
                <c:pt idx="290">
                  <c:v>2</c:v>
                </c:pt>
                <c:pt idx="291">
                  <c:v>2</c:v>
                </c:pt>
                <c:pt idx="292">
                  <c:v>3</c:v>
                </c:pt>
                <c:pt idx="293">
                  <c:v>3</c:v>
                </c:pt>
                <c:pt idx="294">
                  <c:v>2</c:v>
                </c:pt>
                <c:pt idx="295">
                  <c:v>4</c:v>
                </c:pt>
                <c:pt idx="296">
                  <c:v>2</c:v>
                </c:pt>
                <c:pt idx="297">
                  <c:v>2</c:v>
                </c:pt>
                <c:pt idx="298">
                  <c:v>4</c:v>
                </c:pt>
                <c:pt idx="299">
                  <c:v>3</c:v>
                </c:pt>
                <c:pt idx="300">
                  <c:v>3</c:v>
                </c:pt>
                <c:pt idx="301">
                  <c:v>2</c:v>
                </c:pt>
                <c:pt idx="302">
                  <c:v>2</c:v>
                </c:pt>
                <c:pt idx="303">
                  <c:v>2</c:v>
                </c:pt>
                <c:pt idx="304">
                  <c:v>3</c:v>
                </c:pt>
                <c:pt idx="305">
                  <c:v>4</c:v>
                </c:pt>
                <c:pt idx="306">
                  <c:v>3</c:v>
                </c:pt>
                <c:pt idx="307">
                  <c:v>0</c:v>
                </c:pt>
                <c:pt idx="308">
                  <c:v>4</c:v>
                </c:pt>
                <c:pt idx="309">
                  <c:v>4</c:v>
                </c:pt>
                <c:pt idx="310">
                  <c:v>2</c:v>
                </c:pt>
                <c:pt idx="311">
                  <c:v>4</c:v>
                </c:pt>
                <c:pt idx="312">
                  <c:v>2</c:v>
                </c:pt>
                <c:pt idx="313">
                  <c:v>4</c:v>
                </c:pt>
                <c:pt idx="314">
                  <c:v>3</c:v>
                </c:pt>
                <c:pt idx="315">
                  <c:v>3</c:v>
                </c:pt>
                <c:pt idx="316">
                  <c:v>3</c:v>
                </c:pt>
                <c:pt idx="317">
                  <c:v>4</c:v>
                </c:pt>
                <c:pt idx="318">
                  <c:v>2</c:v>
                </c:pt>
                <c:pt idx="319">
                  <c:v>3</c:v>
                </c:pt>
                <c:pt idx="320">
                  <c:v>2</c:v>
                </c:pt>
                <c:pt idx="321">
                  <c:v>3</c:v>
                </c:pt>
                <c:pt idx="322">
                  <c:v>4</c:v>
                </c:pt>
                <c:pt idx="323">
                  <c:v>0</c:v>
                </c:pt>
                <c:pt idx="324">
                  <c:v>3</c:v>
                </c:pt>
                <c:pt idx="325">
                  <c:v>3</c:v>
                </c:pt>
                <c:pt idx="326">
                  <c:v>2</c:v>
                </c:pt>
                <c:pt idx="327">
                  <c:v>2</c:v>
                </c:pt>
                <c:pt idx="328">
                  <c:v>3</c:v>
                </c:pt>
                <c:pt idx="329">
                  <c:v>3</c:v>
                </c:pt>
                <c:pt idx="330">
                  <c:v>4</c:v>
                </c:pt>
                <c:pt idx="331">
                  <c:v>2</c:v>
                </c:pt>
                <c:pt idx="332">
                  <c:v>2</c:v>
                </c:pt>
                <c:pt idx="333">
                  <c:v>2</c:v>
                </c:pt>
                <c:pt idx="334">
                  <c:v>4</c:v>
                </c:pt>
                <c:pt idx="335">
                  <c:v>4</c:v>
                </c:pt>
                <c:pt idx="336">
                  <c:v>4</c:v>
                </c:pt>
                <c:pt idx="337">
                  <c:v>4</c:v>
                </c:pt>
                <c:pt idx="338">
                  <c:v>3</c:v>
                </c:pt>
                <c:pt idx="339">
                  <c:v>4</c:v>
                </c:pt>
                <c:pt idx="340">
                  <c:v>3</c:v>
                </c:pt>
                <c:pt idx="341">
                  <c:v>0</c:v>
                </c:pt>
                <c:pt idx="342">
                  <c:v>4</c:v>
                </c:pt>
                <c:pt idx="343">
                  <c:v>4</c:v>
                </c:pt>
                <c:pt idx="344">
                  <c:v>4</c:v>
                </c:pt>
                <c:pt idx="345">
                  <c:v>4</c:v>
                </c:pt>
                <c:pt idx="346">
                  <c:v>4</c:v>
                </c:pt>
                <c:pt idx="347">
                  <c:v>4</c:v>
                </c:pt>
                <c:pt idx="348">
                  <c:v>0</c:v>
                </c:pt>
                <c:pt idx="349">
                  <c:v>3</c:v>
                </c:pt>
                <c:pt idx="350">
                  <c:v>3</c:v>
                </c:pt>
                <c:pt idx="351">
                  <c:v>0</c:v>
                </c:pt>
                <c:pt idx="352">
                  <c:v>0</c:v>
                </c:pt>
                <c:pt idx="353">
                  <c:v>0</c:v>
                </c:pt>
                <c:pt idx="354">
                  <c:v>3</c:v>
                </c:pt>
                <c:pt idx="355">
                  <c:v>3</c:v>
                </c:pt>
                <c:pt idx="356">
                  <c:v>4</c:v>
                </c:pt>
                <c:pt idx="357">
                  <c:v>4</c:v>
                </c:pt>
                <c:pt idx="358">
                  <c:v>2</c:v>
                </c:pt>
                <c:pt idx="359">
                  <c:v>2</c:v>
                </c:pt>
                <c:pt idx="360">
                  <c:v>0</c:v>
                </c:pt>
                <c:pt idx="361">
                  <c:v>2</c:v>
                </c:pt>
                <c:pt idx="362">
                  <c:v>4</c:v>
                </c:pt>
                <c:pt idx="363">
                  <c:v>2</c:v>
                </c:pt>
                <c:pt idx="364">
                  <c:v>4</c:v>
                </c:pt>
                <c:pt idx="365">
                  <c:v>2</c:v>
                </c:pt>
                <c:pt idx="366">
                  <c:v>4</c:v>
                </c:pt>
                <c:pt idx="367">
                  <c:v>2</c:v>
                </c:pt>
                <c:pt idx="368">
                  <c:v>4</c:v>
                </c:pt>
                <c:pt idx="369">
                  <c:v>4</c:v>
                </c:pt>
                <c:pt idx="370">
                  <c:v>4</c:v>
                </c:pt>
                <c:pt idx="371">
                  <c:v>4</c:v>
                </c:pt>
                <c:pt idx="372">
                  <c:v>4</c:v>
                </c:pt>
                <c:pt idx="373">
                  <c:v>4</c:v>
                </c:pt>
                <c:pt idx="374">
                  <c:v>2</c:v>
                </c:pt>
                <c:pt idx="375">
                  <c:v>3</c:v>
                </c:pt>
                <c:pt idx="376">
                  <c:v>0</c:v>
                </c:pt>
                <c:pt idx="377">
                  <c:v>4</c:v>
                </c:pt>
                <c:pt idx="378">
                  <c:v>0</c:v>
                </c:pt>
                <c:pt idx="379">
                  <c:v>4</c:v>
                </c:pt>
                <c:pt idx="380">
                  <c:v>4</c:v>
                </c:pt>
                <c:pt idx="381">
                  <c:v>4</c:v>
                </c:pt>
                <c:pt idx="382">
                  <c:v>0</c:v>
                </c:pt>
                <c:pt idx="383">
                  <c:v>2</c:v>
                </c:pt>
                <c:pt idx="384">
                  <c:v>4</c:v>
                </c:pt>
                <c:pt idx="385">
                  <c:v>3</c:v>
                </c:pt>
                <c:pt idx="386">
                  <c:v>4</c:v>
                </c:pt>
                <c:pt idx="387">
                  <c:v>4</c:v>
                </c:pt>
                <c:pt idx="388">
                  <c:v>4</c:v>
                </c:pt>
                <c:pt idx="389">
                  <c:v>3</c:v>
                </c:pt>
                <c:pt idx="390">
                  <c:v>4</c:v>
                </c:pt>
                <c:pt idx="391">
                  <c:v>2</c:v>
                </c:pt>
                <c:pt idx="392">
                  <c:v>2</c:v>
                </c:pt>
                <c:pt idx="393">
                  <c:v>4</c:v>
                </c:pt>
                <c:pt idx="394">
                  <c:v>4</c:v>
                </c:pt>
                <c:pt idx="395">
                  <c:v>3</c:v>
                </c:pt>
                <c:pt idx="396">
                  <c:v>2</c:v>
                </c:pt>
                <c:pt idx="397">
                  <c:v>4</c:v>
                </c:pt>
                <c:pt idx="398">
                  <c:v>2</c:v>
                </c:pt>
                <c:pt idx="399">
                  <c:v>3</c:v>
                </c:pt>
                <c:pt idx="400">
                  <c:v>0</c:v>
                </c:pt>
                <c:pt idx="401">
                  <c:v>4</c:v>
                </c:pt>
                <c:pt idx="402">
                  <c:v>3</c:v>
                </c:pt>
                <c:pt idx="403">
                  <c:v>4</c:v>
                </c:pt>
                <c:pt idx="404">
                  <c:v>4</c:v>
                </c:pt>
                <c:pt idx="405">
                  <c:v>3</c:v>
                </c:pt>
                <c:pt idx="406">
                  <c:v>3</c:v>
                </c:pt>
                <c:pt idx="407">
                  <c:v>3</c:v>
                </c:pt>
                <c:pt idx="408">
                  <c:v>3</c:v>
                </c:pt>
                <c:pt idx="409">
                  <c:v>4</c:v>
                </c:pt>
                <c:pt idx="410">
                  <c:v>3</c:v>
                </c:pt>
                <c:pt idx="411">
                  <c:v>2</c:v>
                </c:pt>
                <c:pt idx="412">
                  <c:v>3</c:v>
                </c:pt>
                <c:pt idx="413">
                  <c:v>3</c:v>
                </c:pt>
                <c:pt idx="414">
                  <c:v>2</c:v>
                </c:pt>
                <c:pt idx="415">
                  <c:v>4</c:v>
                </c:pt>
                <c:pt idx="416">
                  <c:v>4</c:v>
                </c:pt>
                <c:pt idx="417">
                  <c:v>2</c:v>
                </c:pt>
                <c:pt idx="418">
                  <c:v>2</c:v>
                </c:pt>
                <c:pt idx="419">
                  <c:v>3</c:v>
                </c:pt>
                <c:pt idx="420">
                  <c:v>4</c:v>
                </c:pt>
                <c:pt idx="421">
                  <c:v>4</c:v>
                </c:pt>
                <c:pt idx="422">
                  <c:v>3</c:v>
                </c:pt>
                <c:pt idx="423">
                  <c:v>4</c:v>
                </c:pt>
                <c:pt idx="424">
                  <c:v>2</c:v>
                </c:pt>
                <c:pt idx="425">
                  <c:v>4</c:v>
                </c:pt>
                <c:pt idx="426">
                  <c:v>2</c:v>
                </c:pt>
                <c:pt idx="427">
                  <c:v>4</c:v>
                </c:pt>
                <c:pt idx="428">
                  <c:v>4</c:v>
                </c:pt>
                <c:pt idx="429">
                  <c:v>3</c:v>
                </c:pt>
                <c:pt idx="430">
                  <c:v>4</c:v>
                </c:pt>
                <c:pt idx="431">
                  <c:v>3</c:v>
                </c:pt>
                <c:pt idx="432">
                  <c:v>4</c:v>
                </c:pt>
                <c:pt idx="433">
                  <c:v>4</c:v>
                </c:pt>
                <c:pt idx="434">
                  <c:v>4</c:v>
                </c:pt>
                <c:pt idx="435">
                  <c:v>3</c:v>
                </c:pt>
                <c:pt idx="436">
                  <c:v>3</c:v>
                </c:pt>
                <c:pt idx="437">
                  <c:v>3</c:v>
                </c:pt>
                <c:pt idx="438">
                  <c:v>2</c:v>
                </c:pt>
                <c:pt idx="439">
                  <c:v>3</c:v>
                </c:pt>
                <c:pt idx="440">
                  <c:v>4</c:v>
                </c:pt>
                <c:pt idx="441">
                  <c:v>4</c:v>
                </c:pt>
                <c:pt idx="442">
                  <c:v>3</c:v>
                </c:pt>
                <c:pt idx="443">
                  <c:v>2</c:v>
                </c:pt>
                <c:pt idx="444">
                  <c:v>4</c:v>
                </c:pt>
                <c:pt idx="445">
                  <c:v>3</c:v>
                </c:pt>
                <c:pt idx="446">
                  <c:v>2</c:v>
                </c:pt>
                <c:pt idx="447">
                  <c:v>3</c:v>
                </c:pt>
                <c:pt idx="448">
                  <c:v>4</c:v>
                </c:pt>
                <c:pt idx="449">
                  <c:v>3</c:v>
                </c:pt>
                <c:pt idx="450">
                  <c:v>4</c:v>
                </c:pt>
                <c:pt idx="451">
                  <c:v>3</c:v>
                </c:pt>
                <c:pt idx="452">
                  <c:v>0</c:v>
                </c:pt>
                <c:pt idx="453">
                  <c:v>4</c:v>
                </c:pt>
                <c:pt idx="454">
                  <c:v>2</c:v>
                </c:pt>
                <c:pt idx="455">
                  <c:v>4</c:v>
                </c:pt>
                <c:pt idx="456">
                  <c:v>4</c:v>
                </c:pt>
                <c:pt idx="457">
                  <c:v>2</c:v>
                </c:pt>
                <c:pt idx="458">
                  <c:v>4</c:v>
                </c:pt>
                <c:pt idx="459">
                  <c:v>4</c:v>
                </c:pt>
                <c:pt idx="460">
                  <c:v>5</c:v>
                </c:pt>
                <c:pt idx="461">
                  <c:v>3</c:v>
                </c:pt>
                <c:pt idx="462">
                  <c:v>3</c:v>
                </c:pt>
                <c:pt idx="463">
                  <c:v>3</c:v>
                </c:pt>
                <c:pt idx="464">
                  <c:v>0</c:v>
                </c:pt>
                <c:pt idx="465">
                  <c:v>3</c:v>
                </c:pt>
                <c:pt idx="466">
                  <c:v>3</c:v>
                </c:pt>
                <c:pt idx="467">
                  <c:v>4</c:v>
                </c:pt>
                <c:pt idx="468">
                  <c:v>3</c:v>
                </c:pt>
                <c:pt idx="469">
                  <c:v>4</c:v>
                </c:pt>
                <c:pt idx="470">
                  <c:v>3</c:v>
                </c:pt>
                <c:pt idx="471">
                  <c:v>3</c:v>
                </c:pt>
                <c:pt idx="472">
                  <c:v>4</c:v>
                </c:pt>
                <c:pt idx="473">
                  <c:v>4</c:v>
                </c:pt>
                <c:pt idx="474">
                  <c:v>4</c:v>
                </c:pt>
                <c:pt idx="475">
                  <c:v>3</c:v>
                </c:pt>
                <c:pt idx="476">
                  <c:v>4</c:v>
                </c:pt>
                <c:pt idx="477">
                  <c:v>2</c:v>
                </c:pt>
                <c:pt idx="478">
                  <c:v>4</c:v>
                </c:pt>
                <c:pt idx="479">
                  <c:v>5</c:v>
                </c:pt>
                <c:pt idx="480">
                  <c:v>3</c:v>
                </c:pt>
                <c:pt idx="481">
                  <c:v>2</c:v>
                </c:pt>
                <c:pt idx="482">
                  <c:v>5</c:v>
                </c:pt>
                <c:pt idx="483">
                  <c:v>4</c:v>
                </c:pt>
                <c:pt idx="484">
                  <c:v>4</c:v>
                </c:pt>
                <c:pt idx="485">
                  <c:v>4</c:v>
                </c:pt>
                <c:pt idx="486">
                  <c:v>4</c:v>
                </c:pt>
                <c:pt idx="487">
                  <c:v>0</c:v>
                </c:pt>
                <c:pt idx="488">
                  <c:v>4</c:v>
                </c:pt>
                <c:pt idx="489">
                  <c:v>3</c:v>
                </c:pt>
                <c:pt idx="490">
                  <c:v>3</c:v>
                </c:pt>
                <c:pt idx="491">
                  <c:v>0</c:v>
                </c:pt>
                <c:pt idx="492">
                  <c:v>2</c:v>
                </c:pt>
                <c:pt idx="493">
                  <c:v>3</c:v>
                </c:pt>
                <c:pt idx="494">
                  <c:v>4</c:v>
                </c:pt>
                <c:pt idx="495">
                  <c:v>2</c:v>
                </c:pt>
                <c:pt idx="496">
                  <c:v>2</c:v>
                </c:pt>
                <c:pt idx="497">
                  <c:v>3</c:v>
                </c:pt>
                <c:pt idx="498">
                  <c:v>4</c:v>
                </c:pt>
                <c:pt idx="499">
                  <c:v>4</c:v>
                </c:pt>
              </c:numCache>
            </c:numRef>
          </c:xVal>
          <c:yVal>
            <c:numRef>
              <c:f>Regression!$A$4:$A$503</c:f>
              <c:numCache>
                <c:formatCode>General</c:formatCode>
                <c:ptCount val="500"/>
                <c:pt idx="0">
                  <c:v>4</c:v>
                </c:pt>
                <c:pt idx="1">
                  <c:v>9</c:v>
                </c:pt>
                <c:pt idx="2">
                  <c:v>6</c:v>
                </c:pt>
                <c:pt idx="3">
                  <c:v>5</c:v>
                </c:pt>
                <c:pt idx="4">
                  <c:v>5</c:v>
                </c:pt>
                <c:pt idx="5">
                  <c:v>5</c:v>
                </c:pt>
                <c:pt idx="6">
                  <c:v>4</c:v>
                </c:pt>
                <c:pt idx="7">
                  <c:v>4</c:v>
                </c:pt>
                <c:pt idx="8">
                  <c:v>4</c:v>
                </c:pt>
                <c:pt idx="9">
                  <c:v>4</c:v>
                </c:pt>
                <c:pt idx="10">
                  <c:v>4</c:v>
                </c:pt>
                <c:pt idx="11">
                  <c:v>8</c:v>
                </c:pt>
                <c:pt idx="12">
                  <c:v>5</c:v>
                </c:pt>
                <c:pt idx="13">
                  <c:v>7</c:v>
                </c:pt>
                <c:pt idx="14">
                  <c:v>7</c:v>
                </c:pt>
                <c:pt idx="15">
                  <c:v>6</c:v>
                </c:pt>
                <c:pt idx="16">
                  <c:v>6</c:v>
                </c:pt>
                <c:pt idx="17">
                  <c:v>10</c:v>
                </c:pt>
                <c:pt idx="18">
                  <c:v>9</c:v>
                </c:pt>
                <c:pt idx="19">
                  <c:v>6</c:v>
                </c:pt>
                <c:pt idx="20">
                  <c:v>5</c:v>
                </c:pt>
                <c:pt idx="21">
                  <c:v>5</c:v>
                </c:pt>
                <c:pt idx="22">
                  <c:v>3</c:v>
                </c:pt>
                <c:pt idx="23">
                  <c:v>8</c:v>
                </c:pt>
                <c:pt idx="24">
                  <c:v>6</c:v>
                </c:pt>
                <c:pt idx="25">
                  <c:v>4</c:v>
                </c:pt>
                <c:pt idx="26">
                  <c:v>4</c:v>
                </c:pt>
                <c:pt idx="27">
                  <c:v>10</c:v>
                </c:pt>
                <c:pt idx="28">
                  <c:v>8</c:v>
                </c:pt>
                <c:pt idx="29">
                  <c:v>5</c:v>
                </c:pt>
                <c:pt idx="30">
                  <c:v>9</c:v>
                </c:pt>
                <c:pt idx="31">
                  <c:v>6</c:v>
                </c:pt>
                <c:pt idx="32">
                  <c:v>4</c:v>
                </c:pt>
                <c:pt idx="33">
                  <c:v>4</c:v>
                </c:pt>
                <c:pt idx="34">
                  <c:v>7</c:v>
                </c:pt>
                <c:pt idx="35">
                  <c:v>5</c:v>
                </c:pt>
                <c:pt idx="36">
                  <c:v>6</c:v>
                </c:pt>
                <c:pt idx="37">
                  <c:v>7</c:v>
                </c:pt>
                <c:pt idx="38">
                  <c:v>5</c:v>
                </c:pt>
                <c:pt idx="39">
                  <c:v>3</c:v>
                </c:pt>
                <c:pt idx="40">
                  <c:v>7</c:v>
                </c:pt>
                <c:pt idx="41">
                  <c:v>7</c:v>
                </c:pt>
                <c:pt idx="42">
                  <c:v>6</c:v>
                </c:pt>
                <c:pt idx="43">
                  <c:v>5</c:v>
                </c:pt>
                <c:pt idx="44">
                  <c:v>8</c:v>
                </c:pt>
                <c:pt idx="45">
                  <c:v>6</c:v>
                </c:pt>
                <c:pt idx="46">
                  <c:v>4</c:v>
                </c:pt>
                <c:pt idx="47">
                  <c:v>3</c:v>
                </c:pt>
                <c:pt idx="48">
                  <c:v>4</c:v>
                </c:pt>
                <c:pt idx="49">
                  <c:v>9</c:v>
                </c:pt>
                <c:pt idx="50">
                  <c:v>3</c:v>
                </c:pt>
                <c:pt idx="51">
                  <c:v>5</c:v>
                </c:pt>
                <c:pt idx="52">
                  <c:v>6</c:v>
                </c:pt>
                <c:pt idx="53">
                  <c:v>6</c:v>
                </c:pt>
                <c:pt idx="54">
                  <c:v>8</c:v>
                </c:pt>
                <c:pt idx="55">
                  <c:v>3</c:v>
                </c:pt>
                <c:pt idx="56">
                  <c:v>6</c:v>
                </c:pt>
                <c:pt idx="57">
                  <c:v>7</c:v>
                </c:pt>
                <c:pt idx="58">
                  <c:v>7</c:v>
                </c:pt>
                <c:pt idx="59">
                  <c:v>3</c:v>
                </c:pt>
                <c:pt idx="60">
                  <c:v>6</c:v>
                </c:pt>
                <c:pt idx="61">
                  <c:v>5</c:v>
                </c:pt>
                <c:pt idx="62">
                  <c:v>4</c:v>
                </c:pt>
                <c:pt idx="63">
                  <c:v>6</c:v>
                </c:pt>
                <c:pt idx="64">
                  <c:v>5</c:v>
                </c:pt>
                <c:pt idx="65">
                  <c:v>4</c:v>
                </c:pt>
                <c:pt idx="66">
                  <c:v>6</c:v>
                </c:pt>
                <c:pt idx="67">
                  <c:v>7</c:v>
                </c:pt>
                <c:pt idx="68">
                  <c:v>5</c:v>
                </c:pt>
                <c:pt idx="69">
                  <c:v>5</c:v>
                </c:pt>
                <c:pt idx="70">
                  <c:v>4</c:v>
                </c:pt>
                <c:pt idx="71">
                  <c:v>7</c:v>
                </c:pt>
                <c:pt idx="72">
                  <c:v>5</c:v>
                </c:pt>
                <c:pt idx="73">
                  <c:v>7</c:v>
                </c:pt>
                <c:pt idx="74">
                  <c:v>5</c:v>
                </c:pt>
                <c:pt idx="75">
                  <c:v>5</c:v>
                </c:pt>
                <c:pt idx="76">
                  <c:v>6</c:v>
                </c:pt>
                <c:pt idx="77">
                  <c:v>5</c:v>
                </c:pt>
                <c:pt idx="78">
                  <c:v>7</c:v>
                </c:pt>
                <c:pt idx="79">
                  <c:v>4</c:v>
                </c:pt>
                <c:pt idx="80">
                  <c:v>7</c:v>
                </c:pt>
                <c:pt idx="81">
                  <c:v>4</c:v>
                </c:pt>
                <c:pt idx="82">
                  <c:v>6</c:v>
                </c:pt>
                <c:pt idx="83">
                  <c:v>6</c:v>
                </c:pt>
                <c:pt idx="84">
                  <c:v>4</c:v>
                </c:pt>
                <c:pt idx="85">
                  <c:v>4</c:v>
                </c:pt>
                <c:pt idx="86">
                  <c:v>6</c:v>
                </c:pt>
                <c:pt idx="87">
                  <c:v>5</c:v>
                </c:pt>
                <c:pt idx="88">
                  <c:v>5</c:v>
                </c:pt>
                <c:pt idx="89">
                  <c:v>6</c:v>
                </c:pt>
                <c:pt idx="90">
                  <c:v>6</c:v>
                </c:pt>
                <c:pt idx="91">
                  <c:v>4</c:v>
                </c:pt>
                <c:pt idx="92">
                  <c:v>3</c:v>
                </c:pt>
                <c:pt idx="93">
                  <c:v>4</c:v>
                </c:pt>
                <c:pt idx="94">
                  <c:v>6</c:v>
                </c:pt>
                <c:pt idx="95">
                  <c:v>5</c:v>
                </c:pt>
                <c:pt idx="96">
                  <c:v>8</c:v>
                </c:pt>
                <c:pt idx="97">
                  <c:v>5</c:v>
                </c:pt>
                <c:pt idx="98">
                  <c:v>5</c:v>
                </c:pt>
                <c:pt idx="99">
                  <c:v>6</c:v>
                </c:pt>
                <c:pt idx="100">
                  <c:v>6</c:v>
                </c:pt>
                <c:pt idx="101">
                  <c:v>6</c:v>
                </c:pt>
                <c:pt idx="102">
                  <c:v>6</c:v>
                </c:pt>
                <c:pt idx="103">
                  <c:v>6</c:v>
                </c:pt>
                <c:pt idx="104">
                  <c:v>7</c:v>
                </c:pt>
                <c:pt idx="105">
                  <c:v>7</c:v>
                </c:pt>
                <c:pt idx="106">
                  <c:v>7</c:v>
                </c:pt>
                <c:pt idx="107">
                  <c:v>7</c:v>
                </c:pt>
                <c:pt idx="108">
                  <c:v>7</c:v>
                </c:pt>
                <c:pt idx="109">
                  <c:v>5</c:v>
                </c:pt>
                <c:pt idx="110">
                  <c:v>6</c:v>
                </c:pt>
                <c:pt idx="111">
                  <c:v>5</c:v>
                </c:pt>
                <c:pt idx="112">
                  <c:v>4</c:v>
                </c:pt>
                <c:pt idx="113">
                  <c:v>3</c:v>
                </c:pt>
                <c:pt idx="114">
                  <c:v>4</c:v>
                </c:pt>
                <c:pt idx="115">
                  <c:v>3</c:v>
                </c:pt>
                <c:pt idx="116">
                  <c:v>5</c:v>
                </c:pt>
                <c:pt idx="117">
                  <c:v>4</c:v>
                </c:pt>
                <c:pt idx="118">
                  <c:v>7</c:v>
                </c:pt>
                <c:pt idx="119">
                  <c:v>6</c:v>
                </c:pt>
                <c:pt idx="120">
                  <c:v>6</c:v>
                </c:pt>
                <c:pt idx="121">
                  <c:v>7</c:v>
                </c:pt>
                <c:pt idx="122">
                  <c:v>3</c:v>
                </c:pt>
                <c:pt idx="123">
                  <c:v>9</c:v>
                </c:pt>
                <c:pt idx="124">
                  <c:v>5</c:v>
                </c:pt>
                <c:pt idx="125">
                  <c:v>5</c:v>
                </c:pt>
                <c:pt idx="126">
                  <c:v>4</c:v>
                </c:pt>
                <c:pt idx="127">
                  <c:v>7</c:v>
                </c:pt>
                <c:pt idx="128">
                  <c:v>5</c:v>
                </c:pt>
                <c:pt idx="129">
                  <c:v>3</c:v>
                </c:pt>
                <c:pt idx="130">
                  <c:v>7</c:v>
                </c:pt>
                <c:pt idx="131">
                  <c:v>5</c:v>
                </c:pt>
                <c:pt idx="132">
                  <c:v>6</c:v>
                </c:pt>
                <c:pt idx="133">
                  <c:v>6</c:v>
                </c:pt>
                <c:pt idx="134">
                  <c:v>4</c:v>
                </c:pt>
                <c:pt idx="135">
                  <c:v>3</c:v>
                </c:pt>
                <c:pt idx="136">
                  <c:v>3</c:v>
                </c:pt>
                <c:pt idx="137">
                  <c:v>4</c:v>
                </c:pt>
                <c:pt idx="138">
                  <c:v>4</c:v>
                </c:pt>
                <c:pt idx="139">
                  <c:v>6</c:v>
                </c:pt>
                <c:pt idx="140">
                  <c:v>6</c:v>
                </c:pt>
                <c:pt idx="141">
                  <c:v>7</c:v>
                </c:pt>
                <c:pt idx="142">
                  <c:v>6</c:v>
                </c:pt>
                <c:pt idx="143">
                  <c:v>4</c:v>
                </c:pt>
                <c:pt idx="144">
                  <c:v>3</c:v>
                </c:pt>
                <c:pt idx="145">
                  <c:v>7</c:v>
                </c:pt>
                <c:pt idx="146">
                  <c:v>5</c:v>
                </c:pt>
                <c:pt idx="147">
                  <c:v>3</c:v>
                </c:pt>
                <c:pt idx="148">
                  <c:v>5</c:v>
                </c:pt>
                <c:pt idx="149">
                  <c:v>3</c:v>
                </c:pt>
                <c:pt idx="150">
                  <c:v>4</c:v>
                </c:pt>
                <c:pt idx="151">
                  <c:v>4</c:v>
                </c:pt>
                <c:pt idx="152">
                  <c:v>4</c:v>
                </c:pt>
                <c:pt idx="153">
                  <c:v>6</c:v>
                </c:pt>
                <c:pt idx="154">
                  <c:v>4</c:v>
                </c:pt>
                <c:pt idx="155">
                  <c:v>5</c:v>
                </c:pt>
                <c:pt idx="156">
                  <c:v>6</c:v>
                </c:pt>
                <c:pt idx="157">
                  <c:v>5</c:v>
                </c:pt>
                <c:pt idx="158">
                  <c:v>4</c:v>
                </c:pt>
                <c:pt idx="159">
                  <c:v>4</c:v>
                </c:pt>
                <c:pt idx="160">
                  <c:v>5</c:v>
                </c:pt>
                <c:pt idx="161">
                  <c:v>4</c:v>
                </c:pt>
                <c:pt idx="162">
                  <c:v>5</c:v>
                </c:pt>
                <c:pt idx="163">
                  <c:v>8</c:v>
                </c:pt>
                <c:pt idx="164">
                  <c:v>5</c:v>
                </c:pt>
                <c:pt idx="165">
                  <c:v>6</c:v>
                </c:pt>
                <c:pt idx="166">
                  <c:v>5</c:v>
                </c:pt>
                <c:pt idx="167">
                  <c:v>4</c:v>
                </c:pt>
                <c:pt idx="168">
                  <c:v>4</c:v>
                </c:pt>
                <c:pt idx="169">
                  <c:v>6</c:v>
                </c:pt>
                <c:pt idx="170">
                  <c:v>4</c:v>
                </c:pt>
                <c:pt idx="171">
                  <c:v>7</c:v>
                </c:pt>
                <c:pt idx="172">
                  <c:v>6</c:v>
                </c:pt>
                <c:pt idx="173">
                  <c:v>5</c:v>
                </c:pt>
                <c:pt idx="174">
                  <c:v>5</c:v>
                </c:pt>
                <c:pt idx="175">
                  <c:v>6</c:v>
                </c:pt>
                <c:pt idx="176">
                  <c:v>7</c:v>
                </c:pt>
                <c:pt idx="177">
                  <c:v>3</c:v>
                </c:pt>
                <c:pt idx="178">
                  <c:v>5</c:v>
                </c:pt>
                <c:pt idx="179">
                  <c:v>4</c:v>
                </c:pt>
                <c:pt idx="180">
                  <c:v>5</c:v>
                </c:pt>
                <c:pt idx="181">
                  <c:v>8</c:v>
                </c:pt>
                <c:pt idx="182">
                  <c:v>7</c:v>
                </c:pt>
                <c:pt idx="183">
                  <c:v>5</c:v>
                </c:pt>
                <c:pt idx="184">
                  <c:v>3</c:v>
                </c:pt>
                <c:pt idx="185">
                  <c:v>4</c:v>
                </c:pt>
                <c:pt idx="186">
                  <c:v>6</c:v>
                </c:pt>
                <c:pt idx="187">
                  <c:v>6</c:v>
                </c:pt>
                <c:pt idx="188">
                  <c:v>6</c:v>
                </c:pt>
                <c:pt idx="189">
                  <c:v>5</c:v>
                </c:pt>
                <c:pt idx="190">
                  <c:v>5</c:v>
                </c:pt>
                <c:pt idx="191">
                  <c:v>6</c:v>
                </c:pt>
                <c:pt idx="192">
                  <c:v>3</c:v>
                </c:pt>
                <c:pt idx="193">
                  <c:v>8</c:v>
                </c:pt>
                <c:pt idx="194">
                  <c:v>6</c:v>
                </c:pt>
                <c:pt idx="195">
                  <c:v>6</c:v>
                </c:pt>
                <c:pt idx="196">
                  <c:v>3</c:v>
                </c:pt>
                <c:pt idx="197">
                  <c:v>6</c:v>
                </c:pt>
                <c:pt idx="198">
                  <c:v>4</c:v>
                </c:pt>
                <c:pt idx="199">
                  <c:v>7</c:v>
                </c:pt>
                <c:pt idx="200">
                  <c:v>3</c:v>
                </c:pt>
                <c:pt idx="201">
                  <c:v>5</c:v>
                </c:pt>
                <c:pt idx="202">
                  <c:v>5</c:v>
                </c:pt>
                <c:pt idx="203">
                  <c:v>6</c:v>
                </c:pt>
                <c:pt idx="204">
                  <c:v>7</c:v>
                </c:pt>
                <c:pt idx="205">
                  <c:v>10</c:v>
                </c:pt>
                <c:pt idx="206">
                  <c:v>5</c:v>
                </c:pt>
                <c:pt idx="207">
                  <c:v>6</c:v>
                </c:pt>
                <c:pt idx="208">
                  <c:v>3</c:v>
                </c:pt>
                <c:pt idx="209">
                  <c:v>5</c:v>
                </c:pt>
                <c:pt idx="210">
                  <c:v>5</c:v>
                </c:pt>
                <c:pt idx="211">
                  <c:v>5</c:v>
                </c:pt>
                <c:pt idx="212">
                  <c:v>4</c:v>
                </c:pt>
                <c:pt idx="213">
                  <c:v>4</c:v>
                </c:pt>
                <c:pt idx="214">
                  <c:v>5</c:v>
                </c:pt>
                <c:pt idx="215">
                  <c:v>7</c:v>
                </c:pt>
                <c:pt idx="216">
                  <c:v>4</c:v>
                </c:pt>
                <c:pt idx="217">
                  <c:v>4</c:v>
                </c:pt>
                <c:pt idx="218">
                  <c:v>7</c:v>
                </c:pt>
                <c:pt idx="219">
                  <c:v>5</c:v>
                </c:pt>
                <c:pt idx="220">
                  <c:v>3</c:v>
                </c:pt>
                <c:pt idx="221">
                  <c:v>4</c:v>
                </c:pt>
                <c:pt idx="222">
                  <c:v>4</c:v>
                </c:pt>
                <c:pt idx="223">
                  <c:v>8</c:v>
                </c:pt>
                <c:pt idx="224">
                  <c:v>6</c:v>
                </c:pt>
                <c:pt idx="225">
                  <c:v>6</c:v>
                </c:pt>
                <c:pt idx="226">
                  <c:v>8</c:v>
                </c:pt>
                <c:pt idx="227">
                  <c:v>4</c:v>
                </c:pt>
                <c:pt idx="228">
                  <c:v>6</c:v>
                </c:pt>
                <c:pt idx="229">
                  <c:v>6</c:v>
                </c:pt>
                <c:pt idx="230">
                  <c:v>6</c:v>
                </c:pt>
                <c:pt idx="231">
                  <c:v>7</c:v>
                </c:pt>
                <c:pt idx="232">
                  <c:v>5</c:v>
                </c:pt>
                <c:pt idx="233">
                  <c:v>8</c:v>
                </c:pt>
                <c:pt idx="234">
                  <c:v>7</c:v>
                </c:pt>
                <c:pt idx="235">
                  <c:v>3</c:v>
                </c:pt>
                <c:pt idx="236">
                  <c:v>5</c:v>
                </c:pt>
                <c:pt idx="237">
                  <c:v>4</c:v>
                </c:pt>
                <c:pt idx="238">
                  <c:v>5</c:v>
                </c:pt>
                <c:pt idx="239">
                  <c:v>7</c:v>
                </c:pt>
                <c:pt idx="240">
                  <c:v>3</c:v>
                </c:pt>
                <c:pt idx="241">
                  <c:v>8</c:v>
                </c:pt>
                <c:pt idx="242">
                  <c:v>5</c:v>
                </c:pt>
                <c:pt idx="243">
                  <c:v>8</c:v>
                </c:pt>
                <c:pt idx="244">
                  <c:v>6</c:v>
                </c:pt>
                <c:pt idx="245">
                  <c:v>5</c:v>
                </c:pt>
                <c:pt idx="246">
                  <c:v>3</c:v>
                </c:pt>
                <c:pt idx="247">
                  <c:v>5</c:v>
                </c:pt>
                <c:pt idx="248">
                  <c:v>6</c:v>
                </c:pt>
                <c:pt idx="249">
                  <c:v>7</c:v>
                </c:pt>
                <c:pt idx="250">
                  <c:v>7</c:v>
                </c:pt>
                <c:pt idx="251">
                  <c:v>7</c:v>
                </c:pt>
                <c:pt idx="252">
                  <c:v>5</c:v>
                </c:pt>
                <c:pt idx="253">
                  <c:v>6</c:v>
                </c:pt>
                <c:pt idx="254">
                  <c:v>6</c:v>
                </c:pt>
                <c:pt idx="255">
                  <c:v>3</c:v>
                </c:pt>
                <c:pt idx="256">
                  <c:v>5</c:v>
                </c:pt>
                <c:pt idx="257">
                  <c:v>6</c:v>
                </c:pt>
                <c:pt idx="258">
                  <c:v>6</c:v>
                </c:pt>
                <c:pt idx="259">
                  <c:v>6</c:v>
                </c:pt>
                <c:pt idx="260">
                  <c:v>4</c:v>
                </c:pt>
                <c:pt idx="261">
                  <c:v>4</c:v>
                </c:pt>
                <c:pt idx="262">
                  <c:v>7</c:v>
                </c:pt>
                <c:pt idx="263">
                  <c:v>3</c:v>
                </c:pt>
                <c:pt idx="264">
                  <c:v>7</c:v>
                </c:pt>
                <c:pt idx="265">
                  <c:v>7</c:v>
                </c:pt>
                <c:pt idx="266">
                  <c:v>5</c:v>
                </c:pt>
                <c:pt idx="267">
                  <c:v>7</c:v>
                </c:pt>
                <c:pt idx="268">
                  <c:v>10</c:v>
                </c:pt>
                <c:pt idx="269">
                  <c:v>8</c:v>
                </c:pt>
                <c:pt idx="270">
                  <c:v>4</c:v>
                </c:pt>
                <c:pt idx="271">
                  <c:v>6</c:v>
                </c:pt>
                <c:pt idx="272">
                  <c:v>6</c:v>
                </c:pt>
                <c:pt idx="273">
                  <c:v>6</c:v>
                </c:pt>
                <c:pt idx="274">
                  <c:v>6</c:v>
                </c:pt>
                <c:pt idx="275">
                  <c:v>9</c:v>
                </c:pt>
                <c:pt idx="276">
                  <c:v>7</c:v>
                </c:pt>
                <c:pt idx="277">
                  <c:v>8</c:v>
                </c:pt>
                <c:pt idx="278">
                  <c:v>6</c:v>
                </c:pt>
                <c:pt idx="279">
                  <c:v>5</c:v>
                </c:pt>
                <c:pt idx="280">
                  <c:v>4</c:v>
                </c:pt>
                <c:pt idx="281">
                  <c:v>6</c:v>
                </c:pt>
                <c:pt idx="282">
                  <c:v>6</c:v>
                </c:pt>
                <c:pt idx="283">
                  <c:v>8</c:v>
                </c:pt>
                <c:pt idx="284">
                  <c:v>5</c:v>
                </c:pt>
                <c:pt idx="285">
                  <c:v>5</c:v>
                </c:pt>
                <c:pt idx="286">
                  <c:v>5</c:v>
                </c:pt>
                <c:pt idx="287">
                  <c:v>6</c:v>
                </c:pt>
                <c:pt idx="288">
                  <c:v>3</c:v>
                </c:pt>
                <c:pt idx="289">
                  <c:v>6</c:v>
                </c:pt>
                <c:pt idx="290">
                  <c:v>4</c:v>
                </c:pt>
                <c:pt idx="291">
                  <c:v>4</c:v>
                </c:pt>
                <c:pt idx="292">
                  <c:v>5</c:v>
                </c:pt>
                <c:pt idx="293">
                  <c:v>5</c:v>
                </c:pt>
                <c:pt idx="294">
                  <c:v>4</c:v>
                </c:pt>
                <c:pt idx="295">
                  <c:v>7</c:v>
                </c:pt>
                <c:pt idx="296">
                  <c:v>4</c:v>
                </c:pt>
                <c:pt idx="297">
                  <c:v>4</c:v>
                </c:pt>
                <c:pt idx="298">
                  <c:v>6</c:v>
                </c:pt>
                <c:pt idx="299">
                  <c:v>5</c:v>
                </c:pt>
                <c:pt idx="300">
                  <c:v>5</c:v>
                </c:pt>
                <c:pt idx="301">
                  <c:v>4</c:v>
                </c:pt>
                <c:pt idx="302">
                  <c:v>4</c:v>
                </c:pt>
                <c:pt idx="303">
                  <c:v>4</c:v>
                </c:pt>
                <c:pt idx="304">
                  <c:v>5</c:v>
                </c:pt>
                <c:pt idx="305">
                  <c:v>7</c:v>
                </c:pt>
                <c:pt idx="306">
                  <c:v>5</c:v>
                </c:pt>
                <c:pt idx="307">
                  <c:v>3</c:v>
                </c:pt>
                <c:pt idx="308">
                  <c:v>6</c:v>
                </c:pt>
                <c:pt idx="309">
                  <c:v>7</c:v>
                </c:pt>
                <c:pt idx="310">
                  <c:v>4</c:v>
                </c:pt>
                <c:pt idx="311">
                  <c:v>6</c:v>
                </c:pt>
                <c:pt idx="312">
                  <c:v>4</c:v>
                </c:pt>
                <c:pt idx="313">
                  <c:v>7</c:v>
                </c:pt>
                <c:pt idx="314">
                  <c:v>5</c:v>
                </c:pt>
                <c:pt idx="315">
                  <c:v>5</c:v>
                </c:pt>
                <c:pt idx="316">
                  <c:v>5</c:v>
                </c:pt>
                <c:pt idx="317">
                  <c:v>6</c:v>
                </c:pt>
                <c:pt idx="318">
                  <c:v>4</c:v>
                </c:pt>
                <c:pt idx="319">
                  <c:v>5</c:v>
                </c:pt>
                <c:pt idx="320">
                  <c:v>4</c:v>
                </c:pt>
                <c:pt idx="321">
                  <c:v>5</c:v>
                </c:pt>
                <c:pt idx="322">
                  <c:v>6</c:v>
                </c:pt>
                <c:pt idx="323">
                  <c:v>3</c:v>
                </c:pt>
                <c:pt idx="324">
                  <c:v>5</c:v>
                </c:pt>
                <c:pt idx="325">
                  <c:v>5</c:v>
                </c:pt>
                <c:pt idx="326">
                  <c:v>4</c:v>
                </c:pt>
                <c:pt idx="327">
                  <c:v>4</c:v>
                </c:pt>
                <c:pt idx="328">
                  <c:v>5</c:v>
                </c:pt>
                <c:pt idx="329">
                  <c:v>5</c:v>
                </c:pt>
                <c:pt idx="330">
                  <c:v>6</c:v>
                </c:pt>
                <c:pt idx="331">
                  <c:v>4</c:v>
                </c:pt>
                <c:pt idx="332">
                  <c:v>4</c:v>
                </c:pt>
                <c:pt idx="333">
                  <c:v>4</c:v>
                </c:pt>
                <c:pt idx="334">
                  <c:v>8</c:v>
                </c:pt>
                <c:pt idx="335">
                  <c:v>6</c:v>
                </c:pt>
                <c:pt idx="336">
                  <c:v>7</c:v>
                </c:pt>
                <c:pt idx="337">
                  <c:v>6</c:v>
                </c:pt>
                <c:pt idx="338">
                  <c:v>5</c:v>
                </c:pt>
                <c:pt idx="339">
                  <c:v>8</c:v>
                </c:pt>
                <c:pt idx="340">
                  <c:v>5</c:v>
                </c:pt>
                <c:pt idx="341">
                  <c:v>3</c:v>
                </c:pt>
                <c:pt idx="342">
                  <c:v>7</c:v>
                </c:pt>
                <c:pt idx="343">
                  <c:v>6</c:v>
                </c:pt>
                <c:pt idx="344">
                  <c:v>6</c:v>
                </c:pt>
                <c:pt idx="345">
                  <c:v>8</c:v>
                </c:pt>
                <c:pt idx="346">
                  <c:v>7</c:v>
                </c:pt>
                <c:pt idx="347">
                  <c:v>6</c:v>
                </c:pt>
                <c:pt idx="348">
                  <c:v>3</c:v>
                </c:pt>
                <c:pt idx="349">
                  <c:v>5</c:v>
                </c:pt>
                <c:pt idx="350">
                  <c:v>5</c:v>
                </c:pt>
                <c:pt idx="351">
                  <c:v>4</c:v>
                </c:pt>
                <c:pt idx="352">
                  <c:v>4</c:v>
                </c:pt>
                <c:pt idx="353">
                  <c:v>3</c:v>
                </c:pt>
                <c:pt idx="354">
                  <c:v>5</c:v>
                </c:pt>
                <c:pt idx="355">
                  <c:v>5</c:v>
                </c:pt>
                <c:pt idx="356">
                  <c:v>8</c:v>
                </c:pt>
                <c:pt idx="357">
                  <c:v>7</c:v>
                </c:pt>
                <c:pt idx="358">
                  <c:v>4</c:v>
                </c:pt>
                <c:pt idx="359">
                  <c:v>4</c:v>
                </c:pt>
                <c:pt idx="360">
                  <c:v>3</c:v>
                </c:pt>
                <c:pt idx="361">
                  <c:v>4</c:v>
                </c:pt>
                <c:pt idx="362">
                  <c:v>6</c:v>
                </c:pt>
                <c:pt idx="363">
                  <c:v>4</c:v>
                </c:pt>
                <c:pt idx="364">
                  <c:v>6</c:v>
                </c:pt>
                <c:pt idx="365">
                  <c:v>4</c:v>
                </c:pt>
                <c:pt idx="366">
                  <c:v>7</c:v>
                </c:pt>
                <c:pt idx="367">
                  <c:v>4</c:v>
                </c:pt>
                <c:pt idx="368">
                  <c:v>8</c:v>
                </c:pt>
                <c:pt idx="369">
                  <c:v>6</c:v>
                </c:pt>
                <c:pt idx="370">
                  <c:v>7</c:v>
                </c:pt>
                <c:pt idx="371">
                  <c:v>7</c:v>
                </c:pt>
                <c:pt idx="372">
                  <c:v>6</c:v>
                </c:pt>
                <c:pt idx="373">
                  <c:v>6</c:v>
                </c:pt>
                <c:pt idx="374">
                  <c:v>4</c:v>
                </c:pt>
                <c:pt idx="375">
                  <c:v>5</c:v>
                </c:pt>
                <c:pt idx="376">
                  <c:v>3</c:v>
                </c:pt>
                <c:pt idx="377">
                  <c:v>6</c:v>
                </c:pt>
                <c:pt idx="378">
                  <c:v>3</c:v>
                </c:pt>
                <c:pt idx="379">
                  <c:v>7</c:v>
                </c:pt>
                <c:pt idx="380">
                  <c:v>7</c:v>
                </c:pt>
                <c:pt idx="381">
                  <c:v>6</c:v>
                </c:pt>
                <c:pt idx="382">
                  <c:v>3</c:v>
                </c:pt>
                <c:pt idx="383">
                  <c:v>4</c:v>
                </c:pt>
                <c:pt idx="384">
                  <c:v>7</c:v>
                </c:pt>
                <c:pt idx="385">
                  <c:v>5</c:v>
                </c:pt>
                <c:pt idx="386">
                  <c:v>6</c:v>
                </c:pt>
                <c:pt idx="387">
                  <c:v>6</c:v>
                </c:pt>
                <c:pt idx="388">
                  <c:v>6</c:v>
                </c:pt>
                <c:pt idx="389">
                  <c:v>5</c:v>
                </c:pt>
                <c:pt idx="390">
                  <c:v>6</c:v>
                </c:pt>
                <c:pt idx="391">
                  <c:v>4</c:v>
                </c:pt>
                <c:pt idx="392">
                  <c:v>4</c:v>
                </c:pt>
                <c:pt idx="393">
                  <c:v>6</c:v>
                </c:pt>
                <c:pt idx="394">
                  <c:v>8</c:v>
                </c:pt>
                <c:pt idx="395">
                  <c:v>5</c:v>
                </c:pt>
                <c:pt idx="396">
                  <c:v>4</c:v>
                </c:pt>
                <c:pt idx="397">
                  <c:v>6</c:v>
                </c:pt>
                <c:pt idx="398">
                  <c:v>4</c:v>
                </c:pt>
                <c:pt idx="399">
                  <c:v>5</c:v>
                </c:pt>
                <c:pt idx="400">
                  <c:v>3</c:v>
                </c:pt>
                <c:pt idx="401">
                  <c:v>6</c:v>
                </c:pt>
                <c:pt idx="402">
                  <c:v>5</c:v>
                </c:pt>
                <c:pt idx="403">
                  <c:v>6</c:v>
                </c:pt>
                <c:pt idx="404">
                  <c:v>7</c:v>
                </c:pt>
                <c:pt idx="405">
                  <c:v>5</c:v>
                </c:pt>
                <c:pt idx="406">
                  <c:v>5</c:v>
                </c:pt>
                <c:pt idx="407">
                  <c:v>5</c:v>
                </c:pt>
                <c:pt idx="408">
                  <c:v>5</c:v>
                </c:pt>
                <c:pt idx="409">
                  <c:v>6</c:v>
                </c:pt>
                <c:pt idx="410">
                  <c:v>5</c:v>
                </c:pt>
                <c:pt idx="411">
                  <c:v>4</c:v>
                </c:pt>
                <c:pt idx="412">
                  <c:v>5</c:v>
                </c:pt>
                <c:pt idx="413">
                  <c:v>5</c:v>
                </c:pt>
                <c:pt idx="414">
                  <c:v>4</c:v>
                </c:pt>
                <c:pt idx="415">
                  <c:v>6</c:v>
                </c:pt>
                <c:pt idx="416">
                  <c:v>6</c:v>
                </c:pt>
                <c:pt idx="417">
                  <c:v>4</c:v>
                </c:pt>
                <c:pt idx="418">
                  <c:v>4</c:v>
                </c:pt>
                <c:pt idx="419">
                  <c:v>5</c:v>
                </c:pt>
                <c:pt idx="420">
                  <c:v>6</c:v>
                </c:pt>
                <c:pt idx="421">
                  <c:v>7</c:v>
                </c:pt>
                <c:pt idx="422">
                  <c:v>5</c:v>
                </c:pt>
                <c:pt idx="423">
                  <c:v>6</c:v>
                </c:pt>
                <c:pt idx="424">
                  <c:v>4</c:v>
                </c:pt>
                <c:pt idx="425">
                  <c:v>7</c:v>
                </c:pt>
                <c:pt idx="426">
                  <c:v>4</c:v>
                </c:pt>
                <c:pt idx="427">
                  <c:v>7</c:v>
                </c:pt>
                <c:pt idx="428">
                  <c:v>7</c:v>
                </c:pt>
                <c:pt idx="429">
                  <c:v>5</c:v>
                </c:pt>
                <c:pt idx="430">
                  <c:v>8</c:v>
                </c:pt>
                <c:pt idx="431">
                  <c:v>5</c:v>
                </c:pt>
                <c:pt idx="432">
                  <c:v>7</c:v>
                </c:pt>
                <c:pt idx="433">
                  <c:v>6</c:v>
                </c:pt>
                <c:pt idx="434">
                  <c:v>6</c:v>
                </c:pt>
                <c:pt idx="435">
                  <c:v>5</c:v>
                </c:pt>
                <c:pt idx="436">
                  <c:v>5</c:v>
                </c:pt>
                <c:pt idx="437">
                  <c:v>5</c:v>
                </c:pt>
                <c:pt idx="438">
                  <c:v>4</c:v>
                </c:pt>
                <c:pt idx="439">
                  <c:v>5</c:v>
                </c:pt>
                <c:pt idx="440">
                  <c:v>6</c:v>
                </c:pt>
                <c:pt idx="441">
                  <c:v>6</c:v>
                </c:pt>
                <c:pt idx="442">
                  <c:v>5</c:v>
                </c:pt>
                <c:pt idx="443">
                  <c:v>4</c:v>
                </c:pt>
                <c:pt idx="444">
                  <c:v>8</c:v>
                </c:pt>
                <c:pt idx="445">
                  <c:v>5</c:v>
                </c:pt>
                <c:pt idx="446">
                  <c:v>4</c:v>
                </c:pt>
                <c:pt idx="447">
                  <c:v>5</c:v>
                </c:pt>
                <c:pt idx="448">
                  <c:v>8</c:v>
                </c:pt>
                <c:pt idx="449">
                  <c:v>5</c:v>
                </c:pt>
                <c:pt idx="450">
                  <c:v>6</c:v>
                </c:pt>
                <c:pt idx="451">
                  <c:v>5</c:v>
                </c:pt>
                <c:pt idx="452">
                  <c:v>3</c:v>
                </c:pt>
                <c:pt idx="453">
                  <c:v>6</c:v>
                </c:pt>
                <c:pt idx="454">
                  <c:v>4</c:v>
                </c:pt>
                <c:pt idx="455">
                  <c:v>6</c:v>
                </c:pt>
                <c:pt idx="456">
                  <c:v>6</c:v>
                </c:pt>
                <c:pt idx="457">
                  <c:v>4</c:v>
                </c:pt>
                <c:pt idx="458">
                  <c:v>7</c:v>
                </c:pt>
                <c:pt idx="459">
                  <c:v>6</c:v>
                </c:pt>
                <c:pt idx="460">
                  <c:v>10</c:v>
                </c:pt>
                <c:pt idx="461">
                  <c:v>5</c:v>
                </c:pt>
                <c:pt idx="462">
                  <c:v>5</c:v>
                </c:pt>
                <c:pt idx="463">
                  <c:v>5</c:v>
                </c:pt>
                <c:pt idx="464">
                  <c:v>3</c:v>
                </c:pt>
                <c:pt idx="465">
                  <c:v>5</c:v>
                </c:pt>
                <c:pt idx="466">
                  <c:v>5</c:v>
                </c:pt>
                <c:pt idx="467">
                  <c:v>6</c:v>
                </c:pt>
                <c:pt idx="468">
                  <c:v>5</c:v>
                </c:pt>
                <c:pt idx="469">
                  <c:v>7</c:v>
                </c:pt>
                <c:pt idx="470">
                  <c:v>5</c:v>
                </c:pt>
                <c:pt idx="471">
                  <c:v>5</c:v>
                </c:pt>
                <c:pt idx="472">
                  <c:v>6</c:v>
                </c:pt>
                <c:pt idx="473">
                  <c:v>8</c:v>
                </c:pt>
                <c:pt idx="474">
                  <c:v>6</c:v>
                </c:pt>
                <c:pt idx="475">
                  <c:v>5</c:v>
                </c:pt>
                <c:pt idx="476">
                  <c:v>7</c:v>
                </c:pt>
                <c:pt idx="477">
                  <c:v>4</c:v>
                </c:pt>
                <c:pt idx="478">
                  <c:v>8</c:v>
                </c:pt>
                <c:pt idx="479">
                  <c:v>9</c:v>
                </c:pt>
                <c:pt idx="480">
                  <c:v>5</c:v>
                </c:pt>
                <c:pt idx="481">
                  <c:v>4</c:v>
                </c:pt>
                <c:pt idx="482">
                  <c:v>9</c:v>
                </c:pt>
                <c:pt idx="483">
                  <c:v>8</c:v>
                </c:pt>
                <c:pt idx="484">
                  <c:v>6</c:v>
                </c:pt>
                <c:pt idx="485">
                  <c:v>7</c:v>
                </c:pt>
                <c:pt idx="486">
                  <c:v>7</c:v>
                </c:pt>
                <c:pt idx="487">
                  <c:v>3</c:v>
                </c:pt>
                <c:pt idx="488">
                  <c:v>7</c:v>
                </c:pt>
                <c:pt idx="489">
                  <c:v>5</c:v>
                </c:pt>
                <c:pt idx="490">
                  <c:v>5</c:v>
                </c:pt>
                <c:pt idx="491">
                  <c:v>3</c:v>
                </c:pt>
                <c:pt idx="492">
                  <c:v>4</c:v>
                </c:pt>
                <c:pt idx="493">
                  <c:v>5</c:v>
                </c:pt>
                <c:pt idx="494">
                  <c:v>6</c:v>
                </c:pt>
                <c:pt idx="495">
                  <c:v>4</c:v>
                </c:pt>
                <c:pt idx="496">
                  <c:v>4</c:v>
                </c:pt>
                <c:pt idx="497">
                  <c:v>5</c:v>
                </c:pt>
                <c:pt idx="498">
                  <c:v>6</c:v>
                </c:pt>
                <c:pt idx="499">
                  <c:v>7</c:v>
                </c:pt>
              </c:numCache>
            </c:numRef>
          </c:yVal>
          <c:smooth val="0"/>
          <c:extLst>
            <c:ext xmlns:c16="http://schemas.microsoft.com/office/drawing/2014/chart" uri="{C3380CC4-5D6E-409C-BE32-E72D297353CC}">
              <c16:uniqueId val="{00000001-53AF-43D3-B648-FDBF732F60FE}"/>
            </c:ext>
          </c:extLst>
        </c:ser>
        <c:ser>
          <c:idx val="1"/>
          <c:order val="1"/>
          <c:tx>
            <c:v>Predicted Y Lead Time (days)</c:v>
          </c:tx>
          <c:spPr>
            <a:ln w="19050">
              <a:noFill/>
            </a:ln>
          </c:spPr>
          <c:xVal>
            <c:numRef>
              <c:f>Regression!$C$4:$C$503</c:f>
              <c:numCache>
                <c:formatCode>General</c:formatCode>
                <c:ptCount val="500"/>
                <c:pt idx="0">
                  <c:v>2</c:v>
                </c:pt>
                <c:pt idx="1">
                  <c:v>5</c:v>
                </c:pt>
                <c:pt idx="2">
                  <c:v>4</c:v>
                </c:pt>
                <c:pt idx="3">
                  <c:v>3</c:v>
                </c:pt>
                <c:pt idx="4">
                  <c:v>3</c:v>
                </c:pt>
                <c:pt idx="5">
                  <c:v>3</c:v>
                </c:pt>
                <c:pt idx="6">
                  <c:v>2</c:v>
                </c:pt>
                <c:pt idx="7">
                  <c:v>2</c:v>
                </c:pt>
                <c:pt idx="8">
                  <c:v>2</c:v>
                </c:pt>
                <c:pt idx="9">
                  <c:v>2</c:v>
                </c:pt>
                <c:pt idx="10">
                  <c:v>2</c:v>
                </c:pt>
                <c:pt idx="11">
                  <c:v>4</c:v>
                </c:pt>
                <c:pt idx="12">
                  <c:v>3</c:v>
                </c:pt>
                <c:pt idx="13">
                  <c:v>4</c:v>
                </c:pt>
                <c:pt idx="14">
                  <c:v>4</c:v>
                </c:pt>
                <c:pt idx="15">
                  <c:v>4</c:v>
                </c:pt>
                <c:pt idx="16">
                  <c:v>4</c:v>
                </c:pt>
                <c:pt idx="17">
                  <c:v>5</c:v>
                </c:pt>
                <c:pt idx="18">
                  <c:v>5</c:v>
                </c:pt>
                <c:pt idx="19">
                  <c:v>4</c:v>
                </c:pt>
                <c:pt idx="20">
                  <c:v>3</c:v>
                </c:pt>
                <c:pt idx="21">
                  <c:v>3</c:v>
                </c:pt>
                <c:pt idx="22">
                  <c:v>0</c:v>
                </c:pt>
                <c:pt idx="23">
                  <c:v>4</c:v>
                </c:pt>
                <c:pt idx="24">
                  <c:v>4</c:v>
                </c:pt>
                <c:pt idx="25">
                  <c:v>2</c:v>
                </c:pt>
                <c:pt idx="26">
                  <c:v>0</c:v>
                </c:pt>
                <c:pt idx="27">
                  <c:v>5</c:v>
                </c:pt>
                <c:pt idx="28">
                  <c:v>4</c:v>
                </c:pt>
                <c:pt idx="29">
                  <c:v>3</c:v>
                </c:pt>
                <c:pt idx="30">
                  <c:v>5</c:v>
                </c:pt>
                <c:pt idx="31">
                  <c:v>4</c:v>
                </c:pt>
                <c:pt idx="32">
                  <c:v>2</c:v>
                </c:pt>
                <c:pt idx="33">
                  <c:v>2</c:v>
                </c:pt>
                <c:pt idx="34">
                  <c:v>4</c:v>
                </c:pt>
                <c:pt idx="35">
                  <c:v>3</c:v>
                </c:pt>
                <c:pt idx="36">
                  <c:v>4</c:v>
                </c:pt>
                <c:pt idx="37">
                  <c:v>4</c:v>
                </c:pt>
                <c:pt idx="38">
                  <c:v>3</c:v>
                </c:pt>
                <c:pt idx="39">
                  <c:v>0</c:v>
                </c:pt>
                <c:pt idx="40">
                  <c:v>4</c:v>
                </c:pt>
                <c:pt idx="41">
                  <c:v>4</c:v>
                </c:pt>
                <c:pt idx="42">
                  <c:v>4</c:v>
                </c:pt>
                <c:pt idx="43">
                  <c:v>3</c:v>
                </c:pt>
                <c:pt idx="44">
                  <c:v>4</c:v>
                </c:pt>
                <c:pt idx="45">
                  <c:v>4</c:v>
                </c:pt>
                <c:pt idx="46">
                  <c:v>2</c:v>
                </c:pt>
                <c:pt idx="47">
                  <c:v>0</c:v>
                </c:pt>
                <c:pt idx="48">
                  <c:v>2</c:v>
                </c:pt>
                <c:pt idx="49">
                  <c:v>5</c:v>
                </c:pt>
                <c:pt idx="50">
                  <c:v>0</c:v>
                </c:pt>
                <c:pt idx="51">
                  <c:v>3</c:v>
                </c:pt>
                <c:pt idx="52">
                  <c:v>4</c:v>
                </c:pt>
                <c:pt idx="53">
                  <c:v>4</c:v>
                </c:pt>
                <c:pt idx="54">
                  <c:v>4</c:v>
                </c:pt>
                <c:pt idx="55">
                  <c:v>0</c:v>
                </c:pt>
                <c:pt idx="56">
                  <c:v>4</c:v>
                </c:pt>
                <c:pt idx="57">
                  <c:v>4</c:v>
                </c:pt>
                <c:pt idx="58">
                  <c:v>4</c:v>
                </c:pt>
                <c:pt idx="59">
                  <c:v>0</c:v>
                </c:pt>
                <c:pt idx="60">
                  <c:v>4</c:v>
                </c:pt>
                <c:pt idx="61">
                  <c:v>3</c:v>
                </c:pt>
                <c:pt idx="62">
                  <c:v>2</c:v>
                </c:pt>
                <c:pt idx="63">
                  <c:v>4</c:v>
                </c:pt>
                <c:pt idx="64">
                  <c:v>3</c:v>
                </c:pt>
                <c:pt idx="65">
                  <c:v>2</c:v>
                </c:pt>
                <c:pt idx="66">
                  <c:v>4</c:v>
                </c:pt>
                <c:pt idx="67">
                  <c:v>4</c:v>
                </c:pt>
                <c:pt idx="68">
                  <c:v>3</c:v>
                </c:pt>
                <c:pt idx="69">
                  <c:v>3</c:v>
                </c:pt>
                <c:pt idx="70">
                  <c:v>2</c:v>
                </c:pt>
                <c:pt idx="71">
                  <c:v>4</c:v>
                </c:pt>
                <c:pt idx="72">
                  <c:v>3</c:v>
                </c:pt>
                <c:pt idx="73">
                  <c:v>4</c:v>
                </c:pt>
                <c:pt idx="74">
                  <c:v>3</c:v>
                </c:pt>
                <c:pt idx="75">
                  <c:v>3</c:v>
                </c:pt>
                <c:pt idx="76">
                  <c:v>4</c:v>
                </c:pt>
                <c:pt idx="77">
                  <c:v>3</c:v>
                </c:pt>
                <c:pt idx="78">
                  <c:v>4</c:v>
                </c:pt>
                <c:pt idx="79">
                  <c:v>2</c:v>
                </c:pt>
                <c:pt idx="80">
                  <c:v>4</c:v>
                </c:pt>
                <c:pt idx="81">
                  <c:v>0</c:v>
                </c:pt>
                <c:pt idx="82">
                  <c:v>4</c:v>
                </c:pt>
                <c:pt idx="83">
                  <c:v>4</c:v>
                </c:pt>
                <c:pt idx="84">
                  <c:v>2</c:v>
                </c:pt>
                <c:pt idx="85">
                  <c:v>2</c:v>
                </c:pt>
                <c:pt idx="86">
                  <c:v>4</c:v>
                </c:pt>
                <c:pt idx="87">
                  <c:v>3</c:v>
                </c:pt>
                <c:pt idx="88">
                  <c:v>3</c:v>
                </c:pt>
                <c:pt idx="89">
                  <c:v>4</c:v>
                </c:pt>
                <c:pt idx="90">
                  <c:v>4</c:v>
                </c:pt>
                <c:pt idx="91">
                  <c:v>2</c:v>
                </c:pt>
                <c:pt idx="92">
                  <c:v>0</c:v>
                </c:pt>
                <c:pt idx="93">
                  <c:v>2</c:v>
                </c:pt>
                <c:pt idx="94">
                  <c:v>4</c:v>
                </c:pt>
                <c:pt idx="95">
                  <c:v>3</c:v>
                </c:pt>
                <c:pt idx="96">
                  <c:v>4</c:v>
                </c:pt>
                <c:pt idx="97">
                  <c:v>3</c:v>
                </c:pt>
                <c:pt idx="98">
                  <c:v>3</c:v>
                </c:pt>
                <c:pt idx="99">
                  <c:v>4</c:v>
                </c:pt>
                <c:pt idx="100">
                  <c:v>4</c:v>
                </c:pt>
                <c:pt idx="101">
                  <c:v>4</c:v>
                </c:pt>
                <c:pt idx="102">
                  <c:v>4</c:v>
                </c:pt>
                <c:pt idx="103">
                  <c:v>4</c:v>
                </c:pt>
                <c:pt idx="104">
                  <c:v>4</c:v>
                </c:pt>
                <c:pt idx="105">
                  <c:v>4</c:v>
                </c:pt>
                <c:pt idx="106">
                  <c:v>4</c:v>
                </c:pt>
                <c:pt idx="107">
                  <c:v>4</c:v>
                </c:pt>
                <c:pt idx="108">
                  <c:v>4</c:v>
                </c:pt>
                <c:pt idx="109">
                  <c:v>3</c:v>
                </c:pt>
                <c:pt idx="110">
                  <c:v>4</c:v>
                </c:pt>
                <c:pt idx="111">
                  <c:v>3</c:v>
                </c:pt>
                <c:pt idx="112">
                  <c:v>2</c:v>
                </c:pt>
                <c:pt idx="113">
                  <c:v>0</c:v>
                </c:pt>
                <c:pt idx="114">
                  <c:v>2</c:v>
                </c:pt>
                <c:pt idx="115">
                  <c:v>0</c:v>
                </c:pt>
                <c:pt idx="116">
                  <c:v>3</c:v>
                </c:pt>
                <c:pt idx="117">
                  <c:v>2</c:v>
                </c:pt>
                <c:pt idx="118">
                  <c:v>4</c:v>
                </c:pt>
                <c:pt idx="119">
                  <c:v>4</c:v>
                </c:pt>
                <c:pt idx="120">
                  <c:v>4</c:v>
                </c:pt>
                <c:pt idx="121">
                  <c:v>4</c:v>
                </c:pt>
                <c:pt idx="122">
                  <c:v>0</c:v>
                </c:pt>
                <c:pt idx="123">
                  <c:v>5</c:v>
                </c:pt>
                <c:pt idx="124">
                  <c:v>3</c:v>
                </c:pt>
                <c:pt idx="125">
                  <c:v>3</c:v>
                </c:pt>
                <c:pt idx="126">
                  <c:v>2</c:v>
                </c:pt>
                <c:pt idx="127">
                  <c:v>4</c:v>
                </c:pt>
                <c:pt idx="128">
                  <c:v>3</c:v>
                </c:pt>
                <c:pt idx="129">
                  <c:v>0</c:v>
                </c:pt>
                <c:pt idx="130">
                  <c:v>4</c:v>
                </c:pt>
                <c:pt idx="131">
                  <c:v>3</c:v>
                </c:pt>
                <c:pt idx="132">
                  <c:v>4</c:v>
                </c:pt>
                <c:pt idx="133">
                  <c:v>4</c:v>
                </c:pt>
                <c:pt idx="134">
                  <c:v>0</c:v>
                </c:pt>
                <c:pt idx="135">
                  <c:v>0</c:v>
                </c:pt>
                <c:pt idx="136">
                  <c:v>0</c:v>
                </c:pt>
                <c:pt idx="137">
                  <c:v>2</c:v>
                </c:pt>
                <c:pt idx="138">
                  <c:v>2</c:v>
                </c:pt>
                <c:pt idx="139">
                  <c:v>4</c:v>
                </c:pt>
                <c:pt idx="140">
                  <c:v>4</c:v>
                </c:pt>
                <c:pt idx="141">
                  <c:v>4</c:v>
                </c:pt>
                <c:pt idx="142">
                  <c:v>4</c:v>
                </c:pt>
                <c:pt idx="143">
                  <c:v>2</c:v>
                </c:pt>
                <c:pt idx="144">
                  <c:v>0</c:v>
                </c:pt>
                <c:pt idx="145">
                  <c:v>4</c:v>
                </c:pt>
                <c:pt idx="146">
                  <c:v>3</c:v>
                </c:pt>
                <c:pt idx="147">
                  <c:v>0</c:v>
                </c:pt>
                <c:pt idx="148">
                  <c:v>3</c:v>
                </c:pt>
                <c:pt idx="149">
                  <c:v>0</c:v>
                </c:pt>
                <c:pt idx="150">
                  <c:v>2</c:v>
                </c:pt>
                <c:pt idx="151">
                  <c:v>2</c:v>
                </c:pt>
                <c:pt idx="152">
                  <c:v>2</c:v>
                </c:pt>
                <c:pt idx="153">
                  <c:v>4</c:v>
                </c:pt>
                <c:pt idx="154">
                  <c:v>2</c:v>
                </c:pt>
                <c:pt idx="155">
                  <c:v>3</c:v>
                </c:pt>
                <c:pt idx="156">
                  <c:v>4</c:v>
                </c:pt>
                <c:pt idx="157">
                  <c:v>3</c:v>
                </c:pt>
                <c:pt idx="158">
                  <c:v>2</c:v>
                </c:pt>
                <c:pt idx="159">
                  <c:v>2</c:v>
                </c:pt>
                <c:pt idx="160">
                  <c:v>3</c:v>
                </c:pt>
                <c:pt idx="161">
                  <c:v>2</c:v>
                </c:pt>
                <c:pt idx="162">
                  <c:v>3</c:v>
                </c:pt>
                <c:pt idx="163">
                  <c:v>4</c:v>
                </c:pt>
                <c:pt idx="164">
                  <c:v>3</c:v>
                </c:pt>
                <c:pt idx="165">
                  <c:v>4</c:v>
                </c:pt>
                <c:pt idx="166">
                  <c:v>3</c:v>
                </c:pt>
                <c:pt idx="167">
                  <c:v>2</c:v>
                </c:pt>
                <c:pt idx="168">
                  <c:v>2</c:v>
                </c:pt>
                <c:pt idx="169">
                  <c:v>4</c:v>
                </c:pt>
                <c:pt idx="170">
                  <c:v>2</c:v>
                </c:pt>
                <c:pt idx="171">
                  <c:v>4</c:v>
                </c:pt>
                <c:pt idx="172">
                  <c:v>4</c:v>
                </c:pt>
                <c:pt idx="173">
                  <c:v>3</c:v>
                </c:pt>
                <c:pt idx="174">
                  <c:v>3</c:v>
                </c:pt>
                <c:pt idx="175">
                  <c:v>4</c:v>
                </c:pt>
                <c:pt idx="176">
                  <c:v>4</c:v>
                </c:pt>
                <c:pt idx="177">
                  <c:v>0</c:v>
                </c:pt>
                <c:pt idx="178">
                  <c:v>3</c:v>
                </c:pt>
                <c:pt idx="179">
                  <c:v>2</c:v>
                </c:pt>
                <c:pt idx="180">
                  <c:v>3</c:v>
                </c:pt>
                <c:pt idx="181">
                  <c:v>4</c:v>
                </c:pt>
                <c:pt idx="182">
                  <c:v>4</c:v>
                </c:pt>
                <c:pt idx="183">
                  <c:v>3</c:v>
                </c:pt>
                <c:pt idx="184">
                  <c:v>0</c:v>
                </c:pt>
                <c:pt idx="185">
                  <c:v>2</c:v>
                </c:pt>
                <c:pt idx="186">
                  <c:v>4</c:v>
                </c:pt>
                <c:pt idx="187">
                  <c:v>4</c:v>
                </c:pt>
                <c:pt idx="188">
                  <c:v>4</c:v>
                </c:pt>
                <c:pt idx="189">
                  <c:v>3</c:v>
                </c:pt>
                <c:pt idx="190">
                  <c:v>3</c:v>
                </c:pt>
                <c:pt idx="191">
                  <c:v>4</c:v>
                </c:pt>
                <c:pt idx="192">
                  <c:v>0</c:v>
                </c:pt>
                <c:pt idx="193">
                  <c:v>4</c:v>
                </c:pt>
                <c:pt idx="194">
                  <c:v>4</c:v>
                </c:pt>
                <c:pt idx="195">
                  <c:v>4</c:v>
                </c:pt>
                <c:pt idx="196">
                  <c:v>0</c:v>
                </c:pt>
                <c:pt idx="197">
                  <c:v>4</c:v>
                </c:pt>
                <c:pt idx="198">
                  <c:v>2</c:v>
                </c:pt>
                <c:pt idx="199">
                  <c:v>4</c:v>
                </c:pt>
                <c:pt idx="200">
                  <c:v>0</c:v>
                </c:pt>
                <c:pt idx="201">
                  <c:v>3</c:v>
                </c:pt>
                <c:pt idx="202">
                  <c:v>3</c:v>
                </c:pt>
                <c:pt idx="203">
                  <c:v>4</c:v>
                </c:pt>
                <c:pt idx="204">
                  <c:v>4</c:v>
                </c:pt>
                <c:pt idx="205">
                  <c:v>5</c:v>
                </c:pt>
                <c:pt idx="206">
                  <c:v>3</c:v>
                </c:pt>
                <c:pt idx="207">
                  <c:v>4</c:v>
                </c:pt>
                <c:pt idx="208">
                  <c:v>0</c:v>
                </c:pt>
                <c:pt idx="209">
                  <c:v>3</c:v>
                </c:pt>
                <c:pt idx="210">
                  <c:v>3</c:v>
                </c:pt>
                <c:pt idx="211">
                  <c:v>3</c:v>
                </c:pt>
                <c:pt idx="212">
                  <c:v>2</c:v>
                </c:pt>
                <c:pt idx="213">
                  <c:v>2</c:v>
                </c:pt>
                <c:pt idx="214">
                  <c:v>3</c:v>
                </c:pt>
                <c:pt idx="215">
                  <c:v>4</c:v>
                </c:pt>
                <c:pt idx="216">
                  <c:v>2</c:v>
                </c:pt>
                <c:pt idx="217">
                  <c:v>2</c:v>
                </c:pt>
                <c:pt idx="218">
                  <c:v>4</c:v>
                </c:pt>
                <c:pt idx="219">
                  <c:v>3</c:v>
                </c:pt>
                <c:pt idx="220">
                  <c:v>0</c:v>
                </c:pt>
                <c:pt idx="221">
                  <c:v>2</c:v>
                </c:pt>
                <c:pt idx="222">
                  <c:v>2</c:v>
                </c:pt>
                <c:pt idx="223">
                  <c:v>4</c:v>
                </c:pt>
                <c:pt idx="224">
                  <c:v>4</c:v>
                </c:pt>
                <c:pt idx="225">
                  <c:v>4</c:v>
                </c:pt>
                <c:pt idx="226">
                  <c:v>4</c:v>
                </c:pt>
                <c:pt idx="227">
                  <c:v>2</c:v>
                </c:pt>
                <c:pt idx="228">
                  <c:v>4</c:v>
                </c:pt>
                <c:pt idx="229">
                  <c:v>4</c:v>
                </c:pt>
                <c:pt idx="230">
                  <c:v>4</c:v>
                </c:pt>
                <c:pt idx="231">
                  <c:v>4</c:v>
                </c:pt>
                <c:pt idx="232">
                  <c:v>3</c:v>
                </c:pt>
                <c:pt idx="233">
                  <c:v>4</c:v>
                </c:pt>
                <c:pt idx="234">
                  <c:v>4</c:v>
                </c:pt>
                <c:pt idx="235">
                  <c:v>0</c:v>
                </c:pt>
                <c:pt idx="236">
                  <c:v>3</c:v>
                </c:pt>
                <c:pt idx="237">
                  <c:v>2</c:v>
                </c:pt>
                <c:pt idx="238">
                  <c:v>3</c:v>
                </c:pt>
                <c:pt idx="239">
                  <c:v>4</c:v>
                </c:pt>
                <c:pt idx="240">
                  <c:v>0</c:v>
                </c:pt>
                <c:pt idx="241">
                  <c:v>4</c:v>
                </c:pt>
                <c:pt idx="242">
                  <c:v>3</c:v>
                </c:pt>
                <c:pt idx="243">
                  <c:v>4</c:v>
                </c:pt>
                <c:pt idx="244">
                  <c:v>4</c:v>
                </c:pt>
                <c:pt idx="245">
                  <c:v>3</c:v>
                </c:pt>
                <c:pt idx="246">
                  <c:v>0</c:v>
                </c:pt>
                <c:pt idx="247">
                  <c:v>3</c:v>
                </c:pt>
                <c:pt idx="248">
                  <c:v>4</c:v>
                </c:pt>
                <c:pt idx="249">
                  <c:v>4</c:v>
                </c:pt>
                <c:pt idx="250">
                  <c:v>4</c:v>
                </c:pt>
                <c:pt idx="251">
                  <c:v>4</c:v>
                </c:pt>
                <c:pt idx="252">
                  <c:v>3</c:v>
                </c:pt>
                <c:pt idx="253">
                  <c:v>4</c:v>
                </c:pt>
                <c:pt idx="254">
                  <c:v>4</c:v>
                </c:pt>
                <c:pt idx="255">
                  <c:v>0</c:v>
                </c:pt>
                <c:pt idx="256">
                  <c:v>3</c:v>
                </c:pt>
                <c:pt idx="257">
                  <c:v>4</c:v>
                </c:pt>
                <c:pt idx="258">
                  <c:v>4</c:v>
                </c:pt>
                <c:pt idx="259">
                  <c:v>4</c:v>
                </c:pt>
                <c:pt idx="260">
                  <c:v>2</c:v>
                </c:pt>
                <c:pt idx="261">
                  <c:v>2</c:v>
                </c:pt>
                <c:pt idx="262">
                  <c:v>4</c:v>
                </c:pt>
                <c:pt idx="263">
                  <c:v>0</c:v>
                </c:pt>
                <c:pt idx="264">
                  <c:v>4</c:v>
                </c:pt>
                <c:pt idx="265">
                  <c:v>4</c:v>
                </c:pt>
                <c:pt idx="266">
                  <c:v>3</c:v>
                </c:pt>
                <c:pt idx="267">
                  <c:v>4</c:v>
                </c:pt>
                <c:pt idx="268">
                  <c:v>5</c:v>
                </c:pt>
                <c:pt idx="269">
                  <c:v>4</c:v>
                </c:pt>
                <c:pt idx="270">
                  <c:v>2</c:v>
                </c:pt>
                <c:pt idx="271">
                  <c:v>4</c:v>
                </c:pt>
                <c:pt idx="272">
                  <c:v>4</c:v>
                </c:pt>
                <c:pt idx="273">
                  <c:v>4</c:v>
                </c:pt>
                <c:pt idx="274">
                  <c:v>4</c:v>
                </c:pt>
                <c:pt idx="275">
                  <c:v>5</c:v>
                </c:pt>
                <c:pt idx="276">
                  <c:v>4</c:v>
                </c:pt>
                <c:pt idx="277">
                  <c:v>4</c:v>
                </c:pt>
                <c:pt idx="278">
                  <c:v>4</c:v>
                </c:pt>
                <c:pt idx="279">
                  <c:v>3</c:v>
                </c:pt>
                <c:pt idx="280">
                  <c:v>2</c:v>
                </c:pt>
                <c:pt idx="281">
                  <c:v>4</c:v>
                </c:pt>
                <c:pt idx="282">
                  <c:v>4</c:v>
                </c:pt>
                <c:pt idx="283">
                  <c:v>4</c:v>
                </c:pt>
                <c:pt idx="284">
                  <c:v>3</c:v>
                </c:pt>
                <c:pt idx="285">
                  <c:v>3</c:v>
                </c:pt>
                <c:pt idx="286">
                  <c:v>3</c:v>
                </c:pt>
                <c:pt idx="287">
                  <c:v>4</c:v>
                </c:pt>
                <c:pt idx="288">
                  <c:v>0</c:v>
                </c:pt>
                <c:pt idx="289">
                  <c:v>4</c:v>
                </c:pt>
                <c:pt idx="290">
                  <c:v>2</c:v>
                </c:pt>
                <c:pt idx="291">
                  <c:v>2</c:v>
                </c:pt>
                <c:pt idx="292">
                  <c:v>3</c:v>
                </c:pt>
                <c:pt idx="293">
                  <c:v>3</c:v>
                </c:pt>
                <c:pt idx="294">
                  <c:v>2</c:v>
                </c:pt>
                <c:pt idx="295">
                  <c:v>4</c:v>
                </c:pt>
                <c:pt idx="296">
                  <c:v>2</c:v>
                </c:pt>
                <c:pt idx="297">
                  <c:v>2</c:v>
                </c:pt>
                <c:pt idx="298">
                  <c:v>4</c:v>
                </c:pt>
                <c:pt idx="299">
                  <c:v>3</c:v>
                </c:pt>
                <c:pt idx="300">
                  <c:v>3</c:v>
                </c:pt>
                <c:pt idx="301">
                  <c:v>2</c:v>
                </c:pt>
                <c:pt idx="302">
                  <c:v>2</c:v>
                </c:pt>
                <c:pt idx="303">
                  <c:v>2</c:v>
                </c:pt>
                <c:pt idx="304">
                  <c:v>3</c:v>
                </c:pt>
                <c:pt idx="305">
                  <c:v>4</c:v>
                </c:pt>
                <c:pt idx="306">
                  <c:v>3</c:v>
                </c:pt>
                <c:pt idx="307">
                  <c:v>0</c:v>
                </c:pt>
                <c:pt idx="308">
                  <c:v>4</c:v>
                </c:pt>
                <c:pt idx="309">
                  <c:v>4</c:v>
                </c:pt>
                <c:pt idx="310">
                  <c:v>2</c:v>
                </c:pt>
                <c:pt idx="311">
                  <c:v>4</c:v>
                </c:pt>
                <c:pt idx="312">
                  <c:v>2</c:v>
                </c:pt>
                <c:pt idx="313">
                  <c:v>4</c:v>
                </c:pt>
                <c:pt idx="314">
                  <c:v>3</c:v>
                </c:pt>
                <c:pt idx="315">
                  <c:v>3</c:v>
                </c:pt>
                <c:pt idx="316">
                  <c:v>3</c:v>
                </c:pt>
                <c:pt idx="317">
                  <c:v>4</c:v>
                </c:pt>
                <c:pt idx="318">
                  <c:v>2</c:v>
                </c:pt>
                <c:pt idx="319">
                  <c:v>3</c:v>
                </c:pt>
                <c:pt idx="320">
                  <c:v>2</c:v>
                </c:pt>
                <c:pt idx="321">
                  <c:v>3</c:v>
                </c:pt>
                <c:pt idx="322">
                  <c:v>4</c:v>
                </c:pt>
                <c:pt idx="323">
                  <c:v>0</c:v>
                </c:pt>
                <c:pt idx="324">
                  <c:v>3</c:v>
                </c:pt>
                <c:pt idx="325">
                  <c:v>3</c:v>
                </c:pt>
                <c:pt idx="326">
                  <c:v>2</c:v>
                </c:pt>
                <c:pt idx="327">
                  <c:v>2</c:v>
                </c:pt>
                <c:pt idx="328">
                  <c:v>3</c:v>
                </c:pt>
                <c:pt idx="329">
                  <c:v>3</c:v>
                </c:pt>
                <c:pt idx="330">
                  <c:v>4</c:v>
                </c:pt>
                <c:pt idx="331">
                  <c:v>2</c:v>
                </c:pt>
                <c:pt idx="332">
                  <c:v>2</c:v>
                </c:pt>
                <c:pt idx="333">
                  <c:v>2</c:v>
                </c:pt>
                <c:pt idx="334">
                  <c:v>4</c:v>
                </c:pt>
                <c:pt idx="335">
                  <c:v>4</c:v>
                </c:pt>
                <c:pt idx="336">
                  <c:v>4</c:v>
                </c:pt>
                <c:pt idx="337">
                  <c:v>4</c:v>
                </c:pt>
                <c:pt idx="338">
                  <c:v>3</c:v>
                </c:pt>
                <c:pt idx="339">
                  <c:v>4</c:v>
                </c:pt>
                <c:pt idx="340">
                  <c:v>3</c:v>
                </c:pt>
                <c:pt idx="341">
                  <c:v>0</c:v>
                </c:pt>
                <c:pt idx="342">
                  <c:v>4</c:v>
                </c:pt>
                <c:pt idx="343">
                  <c:v>4</c:v>
                </c:pt>
                <c:pt idx="344">
                  <c:v>4</c:v>
                </c:pt>
                <c:pt idx="345">
                  <c:v>4</c:v>
                </c:pt>
                <c:pt idx="346">
                  <c:v>4</c:v>
                </c:pt>
                <c:pt idx="347">
                  <c:v>4</c:v>
                </c:pt>
                <c:pt idx="348">
                  <c:v>0</c:v>
                </c:pt>
                <c:pt idx="349">
                  <c:v>3</c:v>
                </c:pt>
                <c:pt idx="350">
                  <c:v>3</c:v>
                </c:pt>
                <c:pt idx="351">
                  <c:v>0</c:v>
                </c:pt>
                <c:pt idx="352">
                  <c:v>0</c:v>
                </c:pt>
                <c:pt idx="353">
                  <c:v>0</c:v>
                </c:pt>
                <c:pt idx="354">
                  <c:v>3</c:v>
                </c:pt>
                <c:pt idx="355">
                  <c:v>3</c:v>
                </c:pt>
                <c:pt idx="356">
                  <c:v>4</c:v>
                </c:pt>
                <c:pt idx="357">
                  <c:v>4</c:v>
                </c:pt>
                <c:pt idx="358">
                  <c:v>2</c:v>
                </c:pt>
                <c:pt idx="359">
                  <c:v>2</c:v>
                </c:pt>
                <c:pt idx="360">
                  <c:v>0</c:v>
                </c:pt>
                <c:pt idx="361">
                  <c:v>2</c:v>
                </c:pt>
                <c:pt idx="362">
                  <c:v>4</c:v>
                </c:pt>
                <c:pt idx="363">
                  <c:v>2</c:v>
                </c:pt>
                <c:pt idx="364">
                  <c:v>4</c:v>
                </c:pt>
                <c:pt idx="365">
                  <c:v>2</c:v>
                </c:pt>
                <c:pt idx="366">
                  <c:v>4</c:v>
                </c:pt>
                <c:pt idx="367">
                  <c:v>2</c:v>
                </c:pt>
                <c:pt idx="368">
                  <c:v>4</c:v>
                </c:pt>
                <c:pt idx="369">
                  <c:v>4</c:v>
                </c:pt>
                <c:pt idx="370">
                  <c:v>4</c:v>
                </c:pt>
                <c:pt idx="371">
                  <c:v>4</c:v>
                </c:pt>
                <c:pt idx="372">
                  <c:v>4</c:v>
                </c:pt>
                <c:pt idx="373">
                  <c:v>4</c:v>
                </c:pt>
                <c:pt idx="374">
                  <c:v>2</c:v>
                </c:pt>
                <c:pt idx="375">
                  <c:v>3</c:v>
                </c:pt>
                <c:pt idx="376">
                  <c:v>0</c:v>
                </c:pt>
                <c:pt idx="377">
                  <c:v>4</c:v>
                </c:pt>
                <c:pt idx="378">
                  <c:v>0</c:v>
                </c:pt>
                <c:pt idx="379">
                  <c:v>4</c:v>
                </c:pt>
                <c:pt idx="380">
                  <c:v>4</c:v>
                </c:pt>
                <c:pt idx="381">
                  <c:v>4</c:v>
                </c:pt>
                <c:pt idx="382">
                  <c:v>0</c:v>
                </c:pt>
                <c:pt idx="383">
                  <c:v>2</c:v>
                </c:pt>
                <c:pt idx="384">
                  <c:v>4</c:v>
                </c:pt>
                <c:pt idx="385">
                  <c:v>3</c:v>
                </c:pt>
                <c:pt idx="386">
                  <c:v>4</c:v>
                </c:pt>
                <c:pt idx="387">
                  <c:v>4</c:v>
                </c:pt>
                <c:pt idx="388">
                  <c:v>4</c:v>
                </c:pt>
                <c:pt idx="389">
                  <c:v>3</c:v>
                </c:pt>
                <c:pt idx="390">
                  <c:v>4</c:v>
                </c:pt>
                <c:pt idx="391">
                  <c:v>2</c:v>
                </c:pt>
                <c:pt idx="392">
                  <c:v>2</c:v>
                </c:pt>
                <c:pt idx="393">
                  <c:v>4</c:v>
                </c:pt>
                <c:pt idx="394">
                  <c:v>4</c:v>
                </c:pt>
                <c:pt idx="395">
                  <c:v>3</c:v>
                </c:pt>
                <c:pt idx="396">
                  <c:v>2</c:v>
                </c:pt>
                <c:pt idx="397">
                  <c:v>4</c:v>
                </c:pt>
                <c:pt idx="398">
                  <c:v>2</c:v>
                </c:pt>
                <c:pt idx="399">
                  <c:v>3</c:v>
                </c:pt>
                <c:pt idx="400">
                  <c:v>0</c:v>
                </c:pt>
                <c:pt idx="401">
                  <c:v>4</c:v>
                </c:pt>
                <c:pt idx="402">
                  <c:v>3</c:v>
                </c:pt>
                <c:pt idx="403">
                  <c:v>4</c:v>
                </c:pt>
                <c:pt idx="404">
                  <c:v>4</c:v>
                </c:pt>
                <c:pt idx="405">
                  <c:v>3</c:v>
                </c:pt>
                <c:pt idx="406">
                  <c:v>3</c:v>
                </c:pt>
                <c:pt idx="407">
                  <c:v>3</c:v>
                </c:pt>
                <c:pt idx="408">
                  <c:v>3</c:v>
                </c:pt>
                <c:pt idx="409">
                  <c:v>4</c:v>
                </c:pt>
                <c:pt idx="410">
                  <c:v>3</c:v>
                </c:pt>
                <c:pt idx="411">
                  <c:v>2</c:v>
                </c:pt>
                <c:pt idx="412">
                  <c:v>3</c:v>
                </c:pt>
                <c:pt idx="413">
                  <c:v>3</c:v>
                </c:pt>
                <c:pt idx="414">
                  <c:v>2</c:v>
                </c:pt>
                <c:pt idx="415">
                  <c:v>4</c:v>
                </c:pt>
                <c:pt idx="416">
                  <c:v>4</c:v>
                </c:pt>
                <c:pt idx="417">
                  <c:v>2</c:v>
                </c:pt>
                <c:pt idx="418">
                  <c:v>2</c:v>
                </c:pt>
                <c:pt idx="419">
                  <c:v>3</c:v>
                </c:pt>
                <c:pt idx="420">
                  <c:v>4</c:v>
                </c:pt>
                <c:pt idx="421">
                  <c:v>4</c:v>
                </c:pt>
                <c:pt idx="422">
                  <c:v>3</c:v>
                </c:pt>
                <c:pt idx="423">
                  <c:v>4</c:v>
                </c:pt>
                <c:pt idx="424">
                  <c:v>2</c:v>
                </c:pt>
                <c:pt idx="425">
                  <c:v>4</c:v>
                </c:pt>
                <c:pt idx="426">
                  <c:v>2</c:v>
                </c:pt>
                <c:pt idx="427">
                  <c:v>4</c:v>
                </c:pt>
                <c:pt idx="428">
                  <c:v>4</c:v>
                </c:pt>
                <c:pt idx="429">
                  <c:v>3</c:v>
                </c:pt>
                <c:pt idx="430">
                  <c:v>4</c:v>
                </c:pt>
                <c:pt idx="431">
                  <c:v>3</c:v>
                </c:pt>
                <c:pt idx="432">
                  <c:v>4</c:v>
                </c:pt>
                <c:pt idx="433">
                  <c:v>4</c:v>
                </c:pt>
                <c:pt idx="434">
                  <c:v>4</c:v>
                </c:pt>
                <c:pt idx="435">
                  <c:v>3</c:v>
                </c:pt>
                <c:pt idx="436">
                  <c:v>3</c:v>
                </c:pt>
                <c:pt idx="437">
                  <c:v>3</c:v>
                </c:pt>
                <c:pt idx="438">
                  <c:v>2</c:v>
                </c:pt>
                <c:pt idx="439">
                  <c:v>3</c:v>
                </c:pt>
                <c:pt idx="440">
                  <c:v>4</c:v>
                </c:pt>
                <c:pt idx="441">
                  <c:v>4</c:v>
                </c:pt>
                <c:pt idx="442">
                  <c:v>3</c:v>
                </c:pt>
                <c:pt idx="443">
                  <c:v>2</c:v>
                </c:pt>
                <c:pt idx="444">
                  <c:v>4</c:v>
                </c:pt>
                <c:pt idx="445">
                  <c:v>3</c:v>
                </c:pt>
                <c:pt idx="446">
                  <c:v>2</c:v>
                </c:pt>
                <c:pt idx="447">
                  <c:v>3</c:v>
                </c:pt>
                <c:pt idx="448">
                  <c:v>4</c:v>
                </c:pt>
                <c:pt idx="449">
                  <c:v>3</c:v>
                </c:pt>
                <c:pt idx="450">
                  <c:v>4</c:v>
                </c:pt>
                <c:pt idx="451">
                  <c:v>3</c:v>
                </c:pt>
                <c:pt idx="452">
                  <c:v>0</c:v>
                </c:pt>
                <c:pt idx="453">
                  <c:v>4</c:v>
                </c:pt>
                <c:pt idx="454">
                  <c:v>2</c:v>
                </c:pt>
                <c:pt idx="455">
                  <c:v>4</c:v>
                </c:pt>
                <c:pt idx="456">
                  <c:v>4</c:v>
                </c:pt>
                <c:pt idx="457">
                  <c:v>2</c:v>
                </c:pt>
                <c:pt idx="458">
                  <c:v>4</c:v>
                </c:pt>
                <c:pt idx="459">
                  <c:v>4</c:v>
                </c:pt>
                <c:pt idx="460">
                  <c:v>5</c:v>
                </c:pt>
                <c:pt idx="461">
                  <c:v>3</c:v>
                </c:pt>
                <c:pt idx="462">
                  <c:v>3</c:v>
                </c:pt>
                <c:pt idx="463">
                  <c:v>3</c:v>
                </c:pt>
                <c:pt idx="464">
                  <c:v>0</c:v>
                </c:pt>
                <c:pt idx="465">
                  <c:v>3</c:v>
                </c:pt>
                <c:pt idx="466">
                  <c:v>3</c:v>
                </c:pt>
                <c:pt idx="467">
                  <c:v>4</c:v>
                </c:pt>
                <c:pt idx="468">
                  <c:v>3</c:v>
                </c:pt>
                <c:pt idx="469">
                  <c:v>4</c:v>
                </c:pt>
                <c:pt idx="470">
                  <c:v>3</c:v>
                </c:pt>
                <c:pt idx="471">
                  <c:v>3</c:v>
                </c:pt>
                <c:pt idx="472">
                  <c:v>4</c:v>
                </c:pt>
                <c:pt idx="473">
                  <c:v>4</c:v>
                </c:pt>
                <c:pt idx="474">
                  <c:v>4</c:v>
                </c:pt>
                <c:pt idx="475">
                  <c:v>3</c:v>
                </c:pt>
                <c:pt idx="476">
                  <c:v>4</c:v>
                </c:pt>
                <c:pt idx="477">
                  <c:v>2</c:v>
                </c:pt>
                <c:pt idx="478">
                  <c:v>4</c:v>
                </c:pt>
                <c:pt idx="479">
                  <c:v>5</c:v>
                </c:pt>
                <c:pt idx="480">
                  <c:v>3</c:v>
                </c:pt>
                <c:pt idx="481">
                  <c:v>2</c:v>
                </c:pt>
                <c:pt idx="482">
                  <c:v>5</c:v>
                </c:pt>
                <c:pt idx="483">
                  <c:v>4</c:v>
                </c:pt>
                <c:pt idx="484">
                  <c:v>4</c:v>
                </c:pt>
                <c:pt idx="485">
                  <c:v>4</c:v>
                </c:pt>
                <c:pt idx="486">
                  <c:v>4</c:v>
                </c:pt>
                <c:pt idx="487">
                  <c:v>0</c:v>
                </c:pt>
                <c:pt idx="488">
                  <c:v>4</c:v>
                </c:pt>
                <c:pt idx="489">
                  <c:v>3</c:v>
                </c:pt>
                <c:pt idx="490">
                  <c:v>3</c:v>
                </c:pt>
                <c:pt idx="491">
                  <c:v>0</c:v>
                </c:pt>
                <c:pt idx="492">
                  <c:v>2</c:v>
                </c:pt>
                <c:pt idx="493">
                  <c:v>3</c:v>
                </c:pt>
                <c:pt idx="494">
                  <c:v>4</c:v>
                </c:pt>
                <c:pt idx="495">
                  <c:v>2</c:v>
                </c:pt>
                <c:pt idx="496">
                  <c:v>2</c:v>
                </c:pt>
                <c:pt idx="497">
                  <c:v>3</c:v>
                </c:pt>
                <c:pt idx="498">
                  <c:v>4</c:v>
                </c:pt>
                <c:pt idx="499">
                  <c:v>4</c:v>
                </c:pt>
              </c:numCache>
            </c:numRef>
          </c:xVal>
          <c:yVal>
            <c:numRef>
              <c:f>Regression!$G$50:$G$549</c:f>
              <c:numCache>
                <c:formatCode>General</c:formatCode>
                <c:ptCount val="500"/>
                <c:pt idx="0">
                  <c:v>4.4430556159210219</c:v>
                </c:pt>
                <c:pt idx="1">
                  <c:v>7.7075245158564272</c:v>
                </c:pt>
                <c:pt idx="2">
                  <c:v>6.3650600895627543</c:v>
                </c:pt>
                <c:pt idx="3">
                  <c:v>5.2905139620239208</c:v>
                </c:pt>
                <c:pt idx="4">
                  <c:v>5.2920077614380263</c:v>
                </c:pt>
                <c:pt idx="5">
                  <c:v>5.5280583393585996</c:v>
                </c:pt>
                <c:pt idx="6">
                  <c:v>4.4659605402706504</c:v>
                </c:pt>
                <c:pt idx="7">
                  <c:v>4.4425576827829865</c:v>
                </c:pt>
                <c:pt idx="8">
                  <c:v>4.4500266798535177</c:v>
                </c:pt>
                <c:pt idx="9">
                  <c:v>4.4505246129915523</c:v>
                </c:pt>
                <c:pt idx="10">
                  <c:v>4.436084551988527</c:v>
                </c:pt>
                <c:pt idx="11">
                  <c:v>6.6135589959342127</c:v>
                </c:pt>
                <c:pt idx="12">
                  <c:v>5.5240748742543158</c:v>
                </c:pt>
                <c:pt idx="13">
                  <c:v>6.1240301802618271</c:v>
                </c:pt>
                <c:pt idx="14">
                  <c:v>6.375018752323462</c:v>
                </c:pt>
                <c:pt idx="15">
                  <c:v>6.3790022174277459</c:v>
                </c:pt>
                <c:pt idx="16">
                  <c:v>6.6275011237992025</c:v>
                </c:pt>
                <c:pt idx="17">
                  <c:v>7.7115079809607101</c:v>
                </c:pt>
                <c:pt idx="18">
                  <c:v>7.7085203821324981</c:v>
                </c:pt>
                <c:pt idx="19">
                  <c:v>6.3809939499798878</c:v>
                </c:pt>
                <c:pt idx="20">
                  <c:v>5.5454859991898378</c:v>
                </c:pt>
                <c:pt idx="21">
                  <c:v>5.5265645399444931</c:v>
                </c:pt>
                <c:pt idx="22">
                  <c:v>2.2800212329783629</c:v>
                </c:pt>
                <c:pt idx="23">
                  <c:v>6.6185383273145657</c:v>
                </c:pt>
                <c:pt idx="24">
                  <c:v>6.3655580227007897</c:v>
                </c:pt>
                <c:pt idx="25">
                  <c:v>4.442059749644951</c:v>
                </c:pt>
                <c:pt idx="26">
                  <c:v>2.2845026312206813</c:v>
                </c:pt>
                <c:pt idx="27">
                  <c:v>7.7035410507521433</c:v>
                </c:pt>
                <c:pt idx="28">
                  <c:v>6.6080817314158224</c:v>
                </c:pt>
                <c:pt idx="29">
                  <c:v>5.5380170021193074</c:v>
                </c:pt>
                <c:pt idx="30">
                  <c:v>7.6945782542675065</c:v>
                </c:pt>
                <c:pt idx="31">
                  <c:v>6.6419411848022296</c:v>
                </c:pt>
                <c:pt idx="32">
                  <c:v>4.4435535490590574</c:v>
                </c:pt>
                <c:pt idx="33">
                  <c:v>4.4330969531603142</c:v>
                </c:pt>
                <c:pt idx="34">
                  <c:v>6.6115672633820708</c:v>
                </c:pt>
                <c:pt idx="35">
                  <c:v>5.2910118951619562</c:v>
                </c:pt>
                <c:pt idx="36">
                  <c:v>6.4243141329889664</c:v>
                </c:pt>
                <c:pt idx="37">
                  <c:v>6.6190362604526012</c:v>
                </c:pt>
                <c:pt idx="38">
                  <c:v>5.0514757852751346</c:v>
                </c:pt>
                <c:pt idx="39">
                  <c:v>2.2795232998403274</c:v>
                </c:pt>
                <c:pt idx="40">
                  <c:v>6.1444454389212781</c:v>
                </c:pt>
                <c:pt idx="41">
                  <c:v>6.37103528721918</c:v>
                </c:pt>
                <c:pt idx="42">
                  <c:v>6.3670518221148962</c:v>
                </c:pt>
                <c:pt idx="43">
                  <c:v>5.2755759678828591</c:v>
                </c:pt>
                <c:pt idx="44">
                  <c:v>6.6065879320017169</c:v>
                </c:pt>
                <c:pt idx="45">
                  <c:v>6.3879650139123827</c:v>
                </c:pt>
                <c:pt idx="46">
                  <c:v>4.439072150816739</c:v>
                </c:pt>
                <c:pt idx="47">
                  <c:v>2.299440625361743</c:v>
                </c:pt>
                <c:pt idx="48">
                  <c:v>4.438076284540668</c:v>
                </c:pt>
                <c:pt idx="49">
                  <c:v>7.7050348501662498</c:v>
                </c:pt>
                <c:pt idx="50">
                  <c:v>2.2879881631869292</c:v>
                </c:pt>
                <c:pt idx="51">
                  <c:v>5.0514757852751346</c:v>
                </c:pt>
                <c:pt idx="52">
                  <c:v>6.3829856825320288</c:v>
                </c:pt>
                <c:pt idx="53">
                  <c:v>6.3650600895627543</c:v>
                </c:pt>
                <c:pt idx="54">
                  <c:v>6.6095755308299289</c:v>
                </c:pt>
                <c:pt idx="55">
                  <c:v>2.2725522359078321</c:v>
                </c:pt>
                <c:pt idx="56">
                  <c:v>6.3844794819461352</c:v>
                </c:pt>
                <c:pt idx="57">
                  <c:v>6.1329929767464639</c:v>
                </c:pt>
                <c:pt idx="58">
                  <c:v>6.376014618599533</c:v>
                </c:pt>
                <c:pt idx="59">
                  <c:v>2.2610997737330178</c:v>
                </c:pt>
                <c:pt idx="60">
                  <c:v>6.3715332203572155</c:v>
                </c:pt>
                <c:pt idx="61">
                  <c:v>5.5190955428739628</c:v>
                </c:pt>
                <c:pt idx="62">
                  <c:v>4.4764171361693936</c:v>
                </c:pt>
                <c:pt idx="63">
                  <c:v>6.3790022174277459</c:v>
                </c:pt>
                <c:pt idx="64">
                  <c:v>5.5410046009475202</c:v>
                </c:pt>
                <c:pt idx="65">
                  <c:v>4.4560018775099426</c:v>
                </c:pt>
                <c:pt idx="66">
                  <c:v>6.376014618599533</c:v>
                </c:pt>
                <c:pt idx="67">
                  <c:v>6.6255093912470615</c:v>
                </c:pt>
                <c:pt idx="68">
                  <c:v>5.5190955428739628</c:v>
                </c:pt>
                <c:pt idx="69">
                  <c:v>5.53552733642913</c:v>
                </c:pt>
                <c:pt idx="70">
                  <c:v>4.2134781687949099</c:v>
                </c:pt>
                <c:pt idx="71">
                  <c:v>6.6185383273145657</c:v>
                </c:pt>
                <c:pt idx="72">
                  <c:v>5.5275604062205641</c:v>
                </c:pt>
                <c:pt idx="73">
                  <c:v>6.6120651965201063</c:v>
                </c:pt>
                <c:pt idx="74">
                  <c:v>5.5285562724966351</c:v>
                </c:pt>
                <c:pt idx="75">
                  <c:v>5.2885222294717797</c:v>
                </c:pt>
                <c:pt idx="76">
                  <c:v>6.3804960168418523</c:v>
                </c:pt>
                <c:pt idx="77">
                  <c:v>5.3024643573367696</c:v>
                </c:pt>
                <c:pt idx="78">
                  <c:v>6.6299907894893799</c:v>
                </c:pt>
                <c:pt idx="79">
                  <c:v>4.4450473484731639</c:v>
                </c:pt>
                <c:pt idx="80">
                  <c:v>6.6374597865599103</c:v>
                </c:pt>
                <c:pt idx="81">
                  <c:v>2.2795232998403274</c:v>
                </c:pt>
                <c:pt idx="82">
                  <c:v>6.3725290866332855</c:v>
                </c:pt>
                <c:pt idx="83">
                  <c:v>6.372031153495251</c:v>
                </c:pt>
                <c:pt idx="84">
                  <c:v>4.2040174391722376</c:v>
                </c:pt>
                <c:pt idx="85">
                  <c:v>4.2164657676231219</c:v>
                </c:pt>
                <c:pt idx="86">
                  <c:v>6.373027019771321</c:v>
                </c:pt>
                <c:pt idx="87">
                  <c:v>5.2760739010208946</c:v>
                </c:pt>
                <c:pt idx="88">
                  <c:v>5.5360252695671655</c:v>
                </c:pt>
                <c:pt idx="89">
                  <c:v>6.3849774150841698</c:v>
                </c:pt>
                <c:pt idx="90">
                  <c:v>6.3829856825320288</c:v>
                </c:pt>
                <c:pt idx="91">
                  <c:v>4.4520184124056588</c:v>
                </c:pt>
                <c:pt idx="92">
                  <c:v>2.2675729045274782</c:v>
                </c:pt>
                <c:pt idx="93">
                  <c:v>4.4629729414424375</c:v>
                </c:pt>
                <c:pt idx="94">
                  <c:v>6.3670518221148962</c:v>
                </c:pt>
                <c:pt idx="95">
                  <c:v>5.3034602236128405</c:v>
                </c:pt>
                <c:pt idx="96">
                  <c:v>6.6309866557654509</c:v>
                </c:pt>
                <c:pt idx="97">
                  <c:v>5.533535603876989</c:v>
                </c:pt>
                <c:pt idx="98">
                  <c:v>5.5459839323278732</c:v>
                </c:pt>
                <c:pt idx="99">
                  <c:v>6.6235176586949205</c:v>
                </c:pt>
                <c:pt idx="100">
                  <c:v>6.6329783883175928</c:v>
                </c:pt>
                <c:pt idx="101">
                  <c:v>6.6394515191120522</c:v>
                </c:pt>
                <c:pt idx="102">
                  <c:v>6.6036003331735049</c:v>
                </c:pt>
                <c:pt idx="103">
                  <c:v>6.626007324385097</c:v>
                </c:pt>
                <c:pt idx="104">
                  <c:v>6.6165465947624247</c:v>
                </c:pt>
                <c:pt idx="105">
                  <c:v>6.6135589959342127</c:v>
                </c:pt>
                <c:pt idx="106">
                  <c:v>6.6080817314158224</c:v>
                </c:pt>
                <c:pt idx="107">
                  <c:v>6.6200321267286721</c:v>
                </c:pt>
                <c:pt idx="108">
                  <c:v>6.6324804551795573</c:v>
                </c:pt>
                <c:pt idx="109">
                  <c:v>5.2760739010208946</c:v>
                </c:pt>
                <c:pt idx="110">
                  <c:v>6.626007324385097</c:v>
                </c:pt>
                <c:pt idx="111">
                  <c:v>5.2915098282999908</c:v>
                </c:pt>
                <c:pt idx="112">
                  <c:v>4.4515204792676233</c:v>
                </c:pt>
                <c:pt idx="113">
                  <c:v>2.2874902300488937</c:v>
                </c:pt>
                <c:pt idx="114">
                  <c:v>4.2010298403440247</c:v>
                </c:pt>
                <c:pt idx="115">
                  <c:v>2.2725522359078321</c:v>
                </c:pt>
                <c:pt idx="116">
                  <c:v>5.5365232027052009</c:v>
                </c:pt>
                <c:pt idx="117">
                  <c:v>4.4545080780958362</c:v>
                </c:pt>
                <c:pt idx="118">
                  <c:v>6.3809939499798878</c:v>
                </c:pt>
                <c:pt idx="119">
                  <c:v>6.3954340109829131</c:v>
                </c:pt>
                <c:pt idx="120">
                  <c:v>6.3735249529093565</c:v>
                </c:pt>
                <c:pt idx="121">
                  <c:v>6.1349847092986058</c:v>
                </c:pt>
                <c:pt idx="122">
                  <c:v>2.2735481021839026</c:v>
                </c:pt>
                <c:pt idx="123">
                  <c:v>7.7055327833042853</c:v>
                </c:pt>
                <c:pt idx="124">
                  <c:v>5.53552733642913</c:v>
                </c:pt>
                <c:pt idx="125">
                  <c:v>5.5370211358432364</c:v>
                </c:pt>
                <c:pt idx="126">
                  <c:v>4.4465411478872703</c:v>
                </c:pt>
                <c:pt idx="127">
                  <c:v>6.6085796645538579</c:v>
                </c:pt>
                <c:pt idx="128">
                  <c:v>5.5360252695671655</c:v>
                </c:pt>
                <c:pt idx="129">
                  <c:v>2.2655811719753367</c:v>
                </c:pt>
                <c:pt idx="130">
                  <c:v>6.37103528721918</c:v>
                </c:pt>
                <c:pt idx="131">
                  <c:v>5.2860325637816024</c:v>
                </c:pt>
                <c:pt idx="132">
                  <c:v>6.3690435546670381</c:v>
                </c:pt>
                <c:pt idx="133">
                  <c:v>6.6045961994495759</c:v>
                </c:pt>
                <c:pt idx="134">
                  <c:v>2.2825108986685398</c:v>
                </c:pt>
                <c:pt idx="135">
                  <c:v>2.2740460353219381</c:v>
                </c:pt>
                <c:pt idx="136">
                  <c:v>2.2745439684599735</c:v>
                </c:pt>
                <c:pt idx="137">
                  <c:v>4.4375783514026335</c:v>
                </c:pt>
                <c:pt idx="138">
                  <c:v>4.4475370141633412</c:v>
                </c:pt>
                <c:pt idx="139">
                  <c:v>6.370039420943109</c:v>
                </c:pt>
                <c:pt idx="140">
                  <c:v>6.3859732813602408</c:v>
                </c:pt>
                <c:pt idx="141">
                  <c:v>6.3879650139123827</c:v>
                </c:pt>
                <c:pt idx="142">
                  <c:v>6.6045961994495759</c:v>
                </c:pt>
                <c:pt idx="143">
                  <c:v>4.4520184124056588</c:v>
                </c:pt>
                <c:pt idx="144">
                  <c:v>2.299440625361743</c:v>
                </c:pt>
                <c:pt idx="145">
                  <c:v>6.3795001505657813</c:v>
                </c:pt>
                <c:pt idx="146">
                  <c:v>5.2890201626098143</c:v>
                </c:pt>
                <c:pt idx="147">
                  <c:v>2.2745439684599735</c:v>
                </c:pt>
                <c:pt idx="148">
                  <c:v>5.5514611968462626</c:v>
                </c:pt>
                <c:pt idx="149">
                  <c:v>2.2919716282912121</c:v>
                </c:pt>
                <c:pt idx="150">
                  <c:v>4.439072150816739</c:v>
                </c:pt>
                <c:pt idx="151">
                  <c:v>4.4589894763381546</c:v>
                </c:pt>
                <c:pt idx="152">
                  <c:v>4.4490308135774468</c:v>
                </c:pt>
                <c:pt idx="153">
                  <c:v>6.1489268371635974</c:v>
                </c:pt>
                <c:pt idx="154">
                  <c:v>4.4614791420283311</c:v>
                </c:pt>
                <c:pt idx="155">
                  <c:v>5.5215852085641393</c:v>
                </c:pt>
                <c:pt idx="156">
                  <c:v>6.150420636577703</c:v>
                </c:pt>
                <c:pt idx="157">
                  <c:v>5.5385149352573428</c:v>
                </c:pt>
                <c:pt idx="158">
                  <c:v>4.4345907525744206</c:v>
                </c:pt>
                <c:pt idx="159">
                  <c:v>4.4589894763381546</c:v>
                </c:pt>
                <c:pt idx="160">
                  <c:v>5.5454859991898378</c:v>
                </c:pt>
                <c:pt idx="161">
                  <c:v>4.4405659502308445</c:v>
                </c:pt>
                <c:pt idx="162">
                  <c:v>5.5220831417021747</c:v>
                </c:pt>
                <c:pt idx="163">
                  <c:v>6.6185383273145657</c:v>
                </c:pt>
                <c:pt idx="164">
                  <c:v>5.5494694642941216</c:v>
                </c:pt>
                <c:pt idx="165">
                  <c:v>6.130005377918252</c:v>
                </c:pt>
                <c:pt idx="166">
                  <c:v>5.5375190689812719</c:v>
                </c:pt>
                <c:pt idx="167">
                  <c:v>4.45948740947619</c:v>
                </c:pt>
                <c:pt idx="168">
                  <c:v>4.4375783514026335</c:v>
                </c:pt>
                <c:pt idx="169">
                  <c:v>6.1409599069550307</c:v>
                </c:pt>
                <c:pt idx="170">
                  <c:v>4.4540101449578007</c:v>
                </c:pt>
                <c:pt idx="171">
                  <c:v>6.6205300598667076</c:v>
                </c:pt>
                <c:pt idx="172">
                  <c:v>6.130005377918252</c:v>
                </c:pt>
                <c:pt idx="173">
                  <c:v>5.2800573661251775</c:v>
                </c:pt>
                <c:pt idx="174">
                  <c:v>5.2870284300576733</c:v>
                </c:pt>
                <c:pt idx="175">
                  <c:v>6.1364785087127123</c:v>
                </c:pt>
                <c:pt idx="176">
                  <c:v>6.6180403941765302</c:v>
                </c:pt>
                <c:pt idx="177">
                  <c:v>2.2820129655305044</c:v>
                </c:pt>
                <c:pt idx="178">
                  <c:v>5.277567700435001</c:v>
                </c:pt>
                <c:pt idx="179">
                  <c:v>4.44006801709281</c:v>
                </c:pt>
                <c:pt idx="180">
                  <c:v>5.5230790079782457</c:v>
                </c:pt>
                <c:pt idx="181">
                  <c:v>6.6414432516641941</c:v>
                </c:pt>
                <c:pt idx="182">
                  <c:v>6.3894588133264891</c:v>
                </c:pt>
                <c:pt idx="183">
                  <c:v>5.534531470153059</c:v>
                </c:pt>
                <c:pt idx="184">
                  <c:v>2.2705605033556906</c:v>
                </c:pt>
                <c:pt idx="185">
                  <c:v>4.442059749644951</c:v>
                </c:pt>
                <c:pt idx="186">
                  <c:v>6.6155507284863537</c:v>
                </c:pt>
                <c:pt idx="187">
                  <c:v>6.1549020348200214</c:v>
                </c:pt>
                <c:pt idx="188">
                  <c:v>6.1439475057832427</c:v>
                </c:pt>
                <c:pt idx="189">
                  <c:v>5.5464818654659087</c:v>
                </c:pt>
                <c:pt idx="190">
                  <c:v>5.5420004672235903</c:v>
                </c:pt>
                <c:pt idx="191">
                  <c:v>6.377010484875604</c:v>
                </c:pt>
                <c:pt idx="192">
                  <c:v>2.2745439684599735</c:v>
                </c:pt>
                <c:pt idx="193">
                  <c:v>6.6215259261427786</c:v>
                </c:pt>
                <c:pt idx="194">
                  <c:v>6.3745208191854275</c:v>
                </c:pt>
                <c:pt idx="195">
                  <c:v>6.3999154092252324</c:v>
                </c:pt>
                <c:pt idx="196">
                  <c:v>2.2850005643587168</c:v>
                </c:pt>
                <c:pt idx="197">
                  <c:v>6.1384702412648542</c:v>
                </c:pt>
                <c:pt idx="198">
                  <c:v>4.4500266798535177</c:v>
                </c:pt>
                <c:pt idx="199">
                  <c:v>6.1479309708875265</c:v>
                </c:pt>
                <c:pt idx="200">
                  <c:v>2.256120442352664</c:v>
                </c:pt>
                <c:pt idx="201">
                  <c:v>5.532539737600918</c:v>
                </c:pt>
                <c:pt idx="202">
                  <c:v>5.53552733642913</c:v>
                </c:pt>
                <c:pt idx="203">
                  <c:v>6.3650600895627543</c:v>
                </c:pt>
                <c:pt idx="204">
                  <c:v>6.3929443452927366</c:v>
                </c:pt>
                <c:pt idx="205">
                  <c:v>7.7010513850619668</c:v>
                </c:pt>
                <c:pt idx="206">
                  <c:v>5.5330376707389535</c:v>
                </c:pt>
                <c:pt idx="207">
                  <c:v>6.3690435546670381</c:v>
                </c:pt>
                <c:pt idx="208">
                  <c:v>2.2665770382514072</c:v>
                </c:pt>
                <c:pt idx="209">
                  <c:v>5.5524570631223336</c:v>
                </c:pt>
                <c:pt idx="210">
                  <c:v>5.5624157258830413</c:v>
                </c:pt>
                <c:pt idx="211">
                  <c:v>5.2815511655392831</c:v>
                </c:pt>
                <c:pt idx="212">
                  <c:v>4.4649646739945794</c:v>
                </c:pt>
                <c:pt idx="213">
                  <c:v>4.4455452816111993</c:v>
                </c:pt>
                <c:pt idx="214">
                  <c:v>5.5420004672235903</c:v>
                </c:pt>
                <c:pt idx="215">
                  <c:v>6.6384556528359813</c:v>
                </c:pt>
                <c:pt idx="216">
                  <c:v>4.4415618165069155</c:v>
                </c:pt>
                <c:pt idx="217">
                  <c:v>4.45948740947619</c:v>
                </c:pt>
                <c:pt idx="218">
                  <c:v>6.370039420943109</c:v>
                </c:pt>
                <c:pt idx="219">
                  <c:v>5.5499673974321571</c:v>
                </c:pt>
                <c:pt idx="220">
                  <c:v>2.2695646370796196</c:v>
                </c:pt>
                <c:pt idx="221">
                  <c:v>3.965975128699522</c:v>
                </c:pt>
                <c:pt idx="222">
                  <c:v>4.2010298403440247</c:v>
                </c:pt>
                <c:pt idx="223">
                  <c:v>6.628994923213309</c:v>
                </c:pt>
                <c:pt idx="224">
                  <c:v>6.6085796645538579</c:v>
                </c:pt>
                <c:pt idx="225">
                  <c:v>6.3839815488080998</c:v>
                </c:pt>
                <c:pt idx="226">
                  <c:v>6.6623564434616807</c:v>
                </c:pt>
                <c:pt idx="227">
                  <c:v>4.4564998106479781</c:v>
                </c:pt>
                <c:pt idx="228">
                  <c:v>6.3780063511516749</c:v>
                </c:pt>
                <c:pt idx="229">
                  <c:v>6.3844794819461352</c:v>
                </c:pt>
                <c:pt idx="230">
                  <c:v>6.6175424610384947</c:v>
                </c:pt>
                <c:pt idx="231">
                  <c:v>6.4004133423632679</c:v>
                </c:pt>
                <c:pt idx="232">
                  <c:v>5.5688888566775017</c:v>
                </c:pt>
                <c:pt idx="233">
                  <c:v>6.624015591832956</c:v>
                </c:pt>
                <c:pt idx="234">
                  <c:v>6.1280136453661109</c:v>
                </c:pt>
                <c:pt idx="235">
                  <c:v>2.2944612939813891</c:v>
                </c:pt>
                <c:pt idx="236">
                  <c:v>5.5245728073923512</c:v>
                </c:pt>
                <c:pt idx="237">
                  <c:v>4.4520184124056588</c:v>
                </c:pt>
                <c:pt idx="238">
                  <c:v>5.5320418044628825</c:v>
                </c:pt>
                <c:pt idx="239">
                  <c:v>6.394438144706843</c:v>
                </c:pt>
                <c:pt idx="240">
                  <c:v>2.2790253667022919</c:v>
                </c:pt>
                <c:pt idx="241">
                  <c:v>6.6145548622102837</c:v>
                </c:pt>
                <c:pt idx="242">
                  <c:v>5.5220831417021747</c:v>
                </c:pt>
                <c:pt idx="243">
                  <c:v>6.6543895132531148</c:v>
                </c:pt>
                <c:pt idx="244">
                  <c:v>6.1558979010960924</c:v>
                </c:pt>
                <c:pt idx="245">
                  <c:v>5.5200914091500337</c:v>
                </c:pt>
                <c:pt idx="246">
                  <c:v>2.2770336341501505</c:v>
                </c:pt>
                <c:pt idx="247">
                  <c:v>5.534531470153059</c:v>
                </c:pt>
                <c:pt idx="248">
                  <c:v>6.3809939499798878</c:v>
                </c:pt>
                <c:pt idx="249">
                  <c:v>6.3755166854614975</c:v>
                </c:pt>
                <c:pt idx="250">
                  <c:v>6.3680476883909671</c:v>
                </c:pt>
                <c:pt idx="251">
                  <c:v>6.627999056937238</c:v>
                </c:pt>
                <c:pt idx="252">
                  <c:v>5.5459839323278732</c:v>
                </c:pt>
                <c:pt idx="253">
                  <c:v>6.3834836156700643</c:v>
                </c:pt>
                <c:pt idx="254">
                  <c:v>6.3785042842897104</c:v>
                </c:pt>
                <c:pt idx="255">
                  <c:v>2.298444759085672</c:v>
                </c:pt>
                <c:pt idx="256">
                  <c:v>5.5484735980180506</c:v>
                </c:pt>
                <c:pt idx="257">
                  <c:v>6.6185383273145657</c:v>
                </c:pt>
                <c:pt idx="258">
                  <c:v>6.6105713971059998</c:v>
                </c:pt>
                <c:pt idx="259">
                  <c:v>6.3834836156700643</c:v>
                </c:pt>
                <c:pt idx="260">
                  <c:v>4.211486436242768</c:v>
                </c:pt>
                <c:pt idx="261">
                  <c:v>4.2035195060342021</c:v>
                </c:pt>
                <c:pt idx="262">
                  <c:v>6.1235322471237916</c:v>
                </c:pt>
                <c:pt idx="263">
                  <c:v>2.2695646370796196</c:v>
                </c:pt>
                <c:pt idx="264">
                  <c:v>6.3665538889768607</c:v>
                </c:pt>
                <c:pt idx="265">
                  <c:v>6.1225363808477207</c:v>
                </c:pt>
                <c:pt idx="266">
                  <c:v>5.5340335370150235</c:v>
                </c:pt>
                <c:pt idx="267">
                  <c:v>6.1539061685439505</c:v>
                </c:pt>
                <c:pt idx="268">
                  <c:v>7.7070265827183917</c:v>
                </c:pt>
                <c:pt idx="269">
                  <c:v>6.6200321267286721</c:v>
                </c:pt>
                <c:pt idx="270">
                  <c:v>4.4739274704792162</c:v>
                </c:pt>
                <c:pt idx="271">
                  <c:v>6.1394661075409251</c:v>
                </c:pt>
                <c:pt idx="272">
                  <c:v>6.3809939499798878</c:v>
                </c:pt>
                <c:pt idx="273">
                  <c:v>6.6314845889034864</c:v>
                </c:pt>
                <c:pt idx="274">
                  <c:v>6.627999056937238</c:v>
                </c:pt>
                <c:pt idx="275">
                  <c:v>7.6895989228871535</c:v>
                </c:pt>
                <c:pt idx="276">
                  <c:v>6.6319825220415218</c:v>
                </c:pt>
                <c:pt idx="277">
                  <c:v>6.6080817314158224</c:v>
                </c:pt>
                <c:pt idx="278">
                  <c:v>6.3715332203572155</c:v>
                </c:pt>
                <c:pt idx="279">
                  <c:v>5.5604239933309003</c:v>
                </c:pt>
                <c:pt idx="280">
                  <c:v>4.438076284540668</c:v>
                </c:pt>
                <c:pt idx="281">
                  <c:v>6.6135589959342127</c:v>
                </c:pt>
                <c:pt idx="282">
                  <c:v>6.3934422784307721</c:v>
                </c:pt>
                <c:pt idx="283">
                  <c:v>6.624015591832956</c:v>
                </c:pt>
                <c:pt idx="284">
                  <c:v>5.2949953602662392</c:v>
                </c:pt>
                <c:pt idx="285">
                  <c:v>5.3034602236128405</c:v>
                </c:pt>
                <c:pt idx="286">
                  <c:v>5.5494694642941216</c:v>
                </c:pt>
                <c:pt idx="287">
                  <c:v>6.377010484875604</c:v>
                </c:pt>
                <c:pt idx="288">
                  <c:v>2.2695646370796196</c:v>
                </c:pt>
                <c:pt idx="289">
                  <c:v>6.4038988743295153</c:v>
                </c:pt>
                <c:pt idx="290">
                  <c:v>4.4589894763381546</c:v>
                </c:pt>
                <c:pt idx="291">
                  <c:v>4.4555039443719071</c:v>
                </c:pt>
                <c:pt idx="292">
                  <c:v>5.5474777317419797</c:v>
                </c:pt>
                <c:pt idx="293">
                  <c:v>5.514116211493608</c:v>
                </c:pt>
                <c:pt idx="294">
                  <c:v>4.4460432147492348</c:v>
                </c:pt>
                <c:pt idx="295">
                  <c:v>6.376014618599533</c:v>
                </c:pt>
                <c:pt idx="296">
                  <c:v>4.4555039443719071</c:v>
                </c:pt>
                <c:pt idx="297">
                  <c:v>4.4440514821970929</c:v>
                </c:pt>
                <c:pt idx="298">
                  <c:v>6.3685456215290026</c:v>
                </c:pt>
                <c:pt idx="299">
                  <c:v>5.534531470153059</c:v>
                </c:pt>
                <c:pt idx="300">
                  <c:v>5.3283568805146109</c:v>
                </c:pt>
                <c:pt idx="301">
                  <c:v>4.44106388336888</c:v>
                </c:pt>
                <c:pt idx="302">
                  <c:v>4.4415618165069155</c:v>
                </c:pt>
                <c:pt idx="303">
                  <c:v>4.463470874580473</c:v>
                </c:pt>
                <c:pt idx="304">
                  <c:v>5.5180996765978918</c:v>
                </c:pt>
                <c:pt idx="305">
                  <c:v>6.6255093912470615</c:v>
                </c:pt>
                <c:pt idx="306">
                  <c:v>5.5290542056346705</c:v>
                </c:pt>
                <c:pt idx="307">
                  <c:v>2.277531567288186</c:v>
                </c:pt>
                <c:pt idx="308">
                  <c:v>6.3705373540811445</c:v>
                </c:pt>
                <c:pt idx="309">
                  <c:v>6.1434495726452072</c:v>
                </c:pt>
                <c:pt idx="310">
                  <c:v>4.4465411478872703</c:v>
                </c:pt>
                <c:pt idx="311">
                  <c:v>6.1514165028537739</c:v>
                </c:pt>
                <c:pt idx="312">
                  <c:v>4.4560018775099426</c:v>
                </c:pt>
                <c:pt idx="313">
                  <c:v>6.6235176586949205</c:v>
                </c:pt>
                <c:pt idx="314">
                  <c:v>5.2880242963337443</c:v>
                </c:pt>
                <c:pt idx="315">
                  <c:v>5.3004726247846286</c:v>
                </c:pt>
                <c:pt idx="316">
                  <c:v>5.300970557922664</c:v>
                </c:pt>
                <c:pt idx="317">
                  <c:v>6.3929443452927366</c:v>
                </c:pt>
                <c:pt idx="318">
                  <c:v>3.9575102653529206</c:v>
                </c:pt>
                <c:pt idx="319">
                  <c:v>5.5514611968462626</c:v>
                </c:pt>
                <c:pt idx="320">
                  <c:v>4.4435535490590574</c:v>
                </c:pt>
                <c:pt idx="321">
                  <c:v>5.5375190689812719</c:v>
                </c:pt>
                <c:pt idx="322">
                  <c:v>6.3695414878050736</c:v>
                </c:pt>
                <c:pt idx="323">
                  <c:v>2.2735481021839026</c:v>
                </c:pt>
                <c:pt idx="324">
                  <c:v>5.2870284300576733</c:v>
                </c:pt>
                <c:pt idx="325">
                  <c:v>5.2949953602662392</c:v>
                </c:pt>
                <c:pt idx="326">
                  <c:v>4.4545080780958362</c:v>
                </c:pt>
                <c:pt idx="327">
                  <c:v>4.4555039443719071</c:v>
                </c:pt>
                <c:pt idx="328">
                  <c:v>5.5494694642941216</c:v>
                </c:pt>
                <c:pt idx="329">
                  <c:v>5.5380170021193074</c:v>
                </c:pt>
                <c:pt idx="330">
                  <c:v>6.6110693302440353</c:v>
                </c:pt>
                <c:pt idx="331">
                  <c:v>4.4540101449578007</c:v>
                </c:pt>
                <c:pt idx="332">
                  <c:v>4.439072150816739</c:v>
                </c:pt>
                <c:pt idx="333">
                  <c:v>4.436084551988527</c:v>
                </c:pt>
                <c:pt idx="334">
                  <c:v>6.6045961994495759</c:v>
                </c:pt>
                <c:pt idx="335">
                  <c:v>6.3939402115688075</c:v>
                </c:pt>
                <c:pt idx="336">
                  <c:v>6.6125631296581417</c:v>
                </c:pt>
                <c:pt idx="337">
                  <c:v>6.1379723081268187</c:v>
                </c:pt>
                <c:pt idx="338">
                  <c:v>5.5375190689812719</c:v>
                </c:pt>
                <c:pt idx="339">
                  <c:v>6.6185383273145657</c:v>
                </c:pt>
                <c:pt idx="340">
                  <c:v>5.5424984003616258</c:v>
                </c:pt>
                <c:pt idx="341">
                  <c:v>2.276535701012115</c:v>
                </c:pt>
                <c:pt idx="342">
                  <c:v>6.372031153495251</c:v>
                </c:pt>
                <c:pt idx="343">
                  <c:v>6.6090775976918934</c:v>
                </c:pt>
                <c:pt idx="344">
                  <c:v>6.370039420943109</c:v>
                </c:pt>
                <c:pt idx="345">
                  <c:v>6.6459246499065125</c:v>
                </c:pt>
                <c:pt idx="346">
                  <c:v>6.1205446482955796</c:v>
                </c:pt>
                <c:pt idx="347">
                  <c:v>6.6095755308299289</c:v>
                </c:pt>
                <c:pt idx="348">
                  <c:v>2.2725522359078321</c:v>
                </c:pt>
                <c:pt idx="349">
                  <c:v>5.531543871324847</c:v>
                </c:pt>
                <c:pt idx="350">
                  <c:v>5.3079416218551598</c:v>
                </c:pt>
                <c:pt idx="351">
                  <c:v>2.2770336341501505</c:v>
                </c:pt>
                <c:pt idx="352">
                  <c:v>2.2869922969108583</c:v>
                </c:pt>
                <c:pt idx="353">
                  <c:v>2.2725522359078321</c:v>
                </c:pt>
                <c:pt idx="354">
                  <c:v>5.5270624730825286</c:v>
                </c:pt>
                <c:pt idx="355">
                  <c:v>5.532539737600918</c:v>
                </c:pt>
                <c:pt idx="356">
                  <c:v>6.6349701208697338</c:v>
                </c:pt>
                <c:pt idx="357">
                  <c:v>6.3804960168418523</c:v>
                </c:pt>
                <c:pt idx="358">
                  <c:v>4.4465411478872703</c:v>
                </c:pt>
                <c:pt idx="359">
                  <c:v>4.4520184124056588</c:v>
                </c:pt>
                <c:pt idx="360">
                  <c:v>2.2675729045274782</c:v>
                </c:pt>
                <c:pt idx="361">
                  <c:v>4.45948740947619</c:v>
                </c:pt>
                <c:pt idx="362">
                  <c:v>6.3809939499798878</c:v>
                </c:pt>
                <c:pt idx="363">
                  <c:v>4.437080418264598</c:v>
                </c:pt>
                <c:pt idx="364">
                  <c:v>6.6339742545936637</c:v>
                </c:pt>
                <c:pt idx="365">
                  <c:v>4.4465411478872703</c:v>
                </c:pt>
                <c:pt idx="366">
                  <c:v>6.1349847092986058</c:v>
                </c:pt>
                <c:pt idx="367">
                  <c:v>4.4435535490590574</c:v>
                </c:pt>
                <c:pt idx="368">
                  <c:v>6.6245135249709914</c:v>
                </c:pt>
                <c:pt idx="369">
                  <c:v>6.3799980837038168</c:v>
                </c:pt>
                <c:pt idx="370">
                  <c:v>6.1384702412648542</c:v>
                </c:pt>
                <c:pt idx="371">
                  <c:v>6.1305033110562874</c:v>
                </c:pt>
                <c:pt idx="372">
                  <c:v>6.6200321267286721</c:v>
                </c:pt>
                <c:pt idx="373">
                  <c:v>6.1549020348200214</c:v>
                </c:pt>
                <c:pt idx="374">
                  <c:v>4.2109885031047325</c:v>
                </c:pt>
                <c:pt idx="375">
                  <c:v>5.0435088550665688</c:v>
                </c:pt>
                <c:pt idx="376">
                  <c:v>2.277531567288186</c:v>
                </c:pt>
                <c:pt idx="377">
                  <c:v>6.3670518221148962</c:v>
                </c:pt>
                <c:pt idx="378">
                  <c:v>2.2879881631869292</c:v>
                </c:pt>
                <c:pt idx="379">
                  <c:v>6.6155507284863537</c:v>
                </c:pt>
                <c:pt idx="380">
                  <c:v>6.3864712144982763</c:v>
                </c:pt>
                <c:pt idx="381">
                  <c:v>6.3884629470504182</c:v>
                </c:pt>
                <c:pt idx="382">
                  <c:v>2.2700625702176551</c:v>
                </c:pt>
                <c:pt idx="383">
                  <c:v>4.4395700839547745</c:v>
                </c:pt>
                <c:pt idx="384">
                  <c:v>6.6155507284863537</c:v>
                </c:pt>
                <c:pt idx="385">
                  <c:v>5.0489861195849572</c:v>
                </c:pt>
                <c:pt idx="386">
                  <c:v>6.6235176586949205</c:v>
                </c:pt>
                <c:pt idx="387">
                  <c:v>6.3819898162559587</c:v>
                </c:pt>
                <c:pt idx="388">
                  <c:v>6.1290095116421819</c:v>
                </c:pt>
                <c:pt idx="389">
                  <c:v>5.3034602236128405</c:v>
                </c:pt>
                <c:pt idx="390">
                  <c:v>6.1265198459520045</c:v>
                </c:pt>
                <c:pt idx="391">
                  <c:v>4.4415618165069155</c:v>
                </c:pt>
                <c:pt idx="392">
                  <c:v>4.4480349473013758</c:v>
                </c:pt>
                <c:pt idx="393">
                  <c:v>6.1245281133998626</c:v>
                </c:pt>
                <c:pt idx="394">
                  <c:v>6.6115672633820708</c:v>
                </c:pt>
                <c:pt idx="395">
                  <c:v>5.2939994939901682</c:v>
                </c:pt>
                <c:pt idx="396">
                  <c:v>4.44106388336888</c:v>
                </c:pt>
                <c:pt idx="397">
                  <c:v>6.3715332203572155</c:v>
                </c:pt>
                <c:pt idx="398">
                  <c:v>4.187087712479034</c:v>
                </c:pt>
                <c:pt idx="399">
                  <c:v>5.0360398579960384</c:v>
                </c:pt>
                <c:pt idx="400">
                  <c:v>2.2685687708035487</c:v>
                </c:pt>
                <c:pt idx="401">
                  <c:v>6.3809939499798878</c:v>
                </c:pt>
                <c:pt idx="402">
                  <c:v>5.533535603876989</c:v>
                </c:pt>
                <c:pt idx="403">
                  <c:v>6.1314991773323584</c:v>
                </c:pt>
                <c:pt idx="404">
                  <c:v>6.6384556528359813</c:v>
                </c:pt>
                <c:pt idx="405">
                  <c:v>5.300970557922664</c:v>
                </c:pt>
                <c:pt idx="406">
                  <c:v>5.2890201626098143</c:v>
                </c:pt>
                <c:pt idx="407">
                  <c:v>5.2959912265423101</c:v>
                </c:pt>
                <c:pt idx="408">
                  <c:v>5.2810532324012485</c:v>
                </c:pt>
                <c:pt idx="409">
                  <c:v>6.623019725556885</c:v>
                </c:pt>
                <c:pt idx="410">
                  <c:v>5.552954996260369</c:v>
                </c:pt>
                <c:pt idx="411">
                  <c:v>4.4560018775099426</c:v>
                </c:pt>
                <c:pt idx="412">
                  <c:v>5.5265645399444931</c:v>
                </c:pt>
                <c:pt idx="413">
                  <c:v>5.5320418044628825</c:v>
                </c:pt>
                <c:pt idx="414">
                  <c:v>4.4435535490590574</c:v>
                </c:pt>
                <c:pt idx="415">
                  <c:v>6.3869691476363117</c:v>
                </c:pt>
                <c:pt idx="416">
                  <c:v>6.3665538889768607</c:v>
                </c:pt>
                <c:pt idx="417">
                  <c:v>4.45948740947619</c:v>
                </c:pt>
                <c:pt idx="418">
                  <c:v>4.4465411478872703</c:v>
                </c:pt>
                <c:pt idx="419">
                  <c:v>5.5444901329137668</c:v>
                </c:pt>
                <c:pt idx="420">
                  <c:v>6.3874670807743472</c:v>
                </c:pt>
                <c:pt idx="421">
                  <c:v>6.1329929767464639</c:v>
                </c:pt>
                <c:pt idx="422">
                  <c:v>5.5365232027052009</c:v>
                </c:pt>
                <c:pt idx="423">
                  <c:v>6.3859732813602408</c:v>
                </c:pt>
                <c:pt idx="424">
                  <c:v>4.4435535490590574</c:v>
                </c:pt>
                <c:pt idx="425">
                  <c:v>6.397425743535055</c:v>
                </c:pt>
                <c:pt idx="426">
                  <c:v>4.4520184124056588</c:v>
                </c:pt>
                <c:pt idx="427">
                  <c:v>6.1384702412648542</c:v>
                </c:pt>
                <c:pt idx="428">
                  <c:v>6.1319971104703939</c:v>
                </c:pt>
                <c:pt idx="429">
                  <c:v>5.5235769411162812</c:v>
                </c:pt>
                <c:pt idx="430">
                  <c:v>6.6140569290722482</c:v>
                </c:pt>
                <c:pt idx="431">
                  <c:v>5.5255686736684222</c:v>
                </c:pt>
                <c:pt idx="432">
                  <c:v>6.3630683570106132</c:v>
                </c:pt>
                <c:pt idx="433">
                  <c:v>6.4068864731577273</c:v>
                </c:pt>
                <c:pt idx="434">
                  <c:v>6.4088782057098692</c:v>
                </c:pt>
                <c:pt idx="435">
                  <c:v>5.5464818654659087</c:v>
                </c:pt>
                <c:pt idx="436">
                  <c:v>5.5270624730825286</c:v>
                </c:pt>
                <c:pt idx="437">
                  <c:v>5.533535603876989</c:v>
                </c:pt>
                <c:pt idx="438">
                  <c:v>4.4316031537462077</c:v>
                </c:pt>
                <c:pt idx="439">
                  <c:v>5.530548005048777</c:v>
                </c:pt>
                <c:pt idx="440">
                  <c:v>6.6419411848022296</c:v>
                </c:pt>
                <c:pt idx="441">
                  <c:v>6.1384702412648542</c:v>
                </c:pt>
                <c:pt idx="442">
                  <c:v>5.2900160288858853</c:v>
                </c:pt>
                <c:pt idx="443">
                  <c:v>4.4480349473013758</c:v>
                </c:pt>
                <c:pt idx="444">
                  <c:v>6.6125631296581417</c:v>
                </c:pt>
                <c:pt idx="445">
                  <c:v>5.3094354212692654</c:v>
                </c:pt>
                <c:pt idx="446">
                  <c:v>4.4475370141633412</c:v>
                </c:pt>
                <c:pt idx="447">
                  <c:v>5.2800573661251775</c:v>
                </c:pt>
                <c:pt idx="448">
                  <c:v>6.6299907894893799</c:v>
                </c:pt>
                <c:pt idx="449">
                  <c:v>5.5180996765978918</c:v>
                </c:pt>
                <c:pt idx="450">
                  <c:v>6.3904546796025601</c:v>
                </c:pt>
                <c:pt idx="451">
                  <c:v>5.5589301939167939</c:v>
                </c:pt>
                <c:pt idx="452">
                  <c:v>2.2700625702176551</c:v>
                </c:pt>
                <c:pt idx="453">
                  <c:v>6.3610766244584722</c:v>
                </c:pt>
                <c:pt idx="454">
                  <c:v>4.4550060112338716</c:v>
                </c:pt>
                <c:pt idx="455">
                  <c:v>6.1235322471237916</c:v>
                </c:pt>
                <c:pt idx="456">
                  <c:v>6.3864712144982763</c:v>
                </c:pt>
                <c:pt idx="457">
                  <c:v>4.45948740947619</c:v>
                </c:pt>
                <c:pt idx="458">
                  <c:v>6.6379577196979458</c:v>
                </c:pt>
                <c:pt idx="459">
                  <c:v>6.147433037749491</c:v>
                </c:pt>
                <c:pt idx="460">
                  <c:v>7.7199728443073123</c:v>
                </c:pt>
                <c:pt idx="461">
                  <c:v>5.5275604062205641</c:v>
                </c:pt>
                <c:pt idx="462">
                  <c:v>5.530548005048777</c:v>
                </c:pt>
                <c:pt idx="463">
                  <c:v>5.5310459381868124</c:v>
                </c:pt>
                <c:pt idx="464">
                  <c:v>2.2934654277053181</c:v>
                </c:pt>
                <c:pt idx="465">
                  <c:v>5.5375190689812719</c:v>
                </c:pt>
                <c:pt idx="466">
                  <c:v>5.5405066678094848</c:v>
                </c:pt>
                <c:pt idx="467">
                  <c:v>6.3954340109829131</c:v>
                </c:pt>
                <c:pt idx="468">
                  <c:v>5.5275604062205641</c:v>
                </c:pt>
                <c:pt idx="469">
                  <c:v>6.6334763214556283</c:v>
                </c:pt>
                <c:pt idx="470">
                  <c:v>5.534531470153059</c:v>
                </c:pt>
                <c:pt idx="471">
                  <c:v>5.5285562724966351</c:v>
                </c:pt>
                <c:pt idx="472">
                  <c:v>6.1369764418507478</c:v>
                </c:pt>
                <c:pt idx="473">
                  <c:v>6.6324804551795573</c:v>
                </c:pt>
                <c:pt idx="474">
                  <c:v>6.376014618599533</c:v>
                </c:pt>
                <c:pt idx="475">
                  <c:v>5.5210872754261047</c:v>
                </c:pt>
                <c:pt idx="476">
                  <c:v>6.377010484875604</c:v>
                </c:pt>
                <c:pt idx="477">
                  <c:v>4.4460432147492348</c:v>
                </c:pt>
                <c:pt idx="478">
                  <c:v>6.6155507284863537</c:v>
                </c:pt>
                <c:pt idx="479">
                  <c:v>7.7100141815466046</c:v>
                </c:pt>
                <c:pt idx="480">
                  <c:v>5.2845387643674959</c:v>
                </c:pt>
                <c:pt idx="481">
                  <c:v>4.4525163455436942</c:v>
                </c:pt>
                <c:pt idx="482">
                  <c:v>7.7075245158564272</c:v>
                </c:pt>
                <c:pt idx="483">
                  <c:v>6.6180403941765302</c:v>
                </c:pt>
                <c:pt idx="484">
                  <c:v>6.3685456215290026</c:v>
                </c:pt>
                <c:pt idx="485">
                  <c:v>6.3695414878050736</c:v>
                </c:pt>
                <c:pt idx="486">
                  <c:v>6.3899567464645246</c:v>
                </c:pt>
                <c:pt idx="487">
                  <c:v>2.2929674945672831</c:v>
                </c:pt>
                <c:pt idx="488">
                  <c:v>6.3949360778448776</c:v>
                </c:pt>
                <c:pt idx="489">
                  <c:v>5.2905139620239208</c:v>
                </c:pt>
                <c:pt idx="490">
                  <c:v>5.5225810748402102</c:v>
                </c:pt>
                <c:pt idx="491">
                  <c:v>2.2760377678740795</c:v>
                </c:pt>
                <c:pt idx="492">
                  <c:v>4.4425576827829865</c:v>
                </c:pt>
                <c:pt idx="493">
                  <c:v>5.2840408312294604</c:v>
                </c:pt>
                <c:pt idx="494">
                  <c:v>6.1414578400930662</c:v>
                </c:pt>
                <c:pt idx="495">
                  <c:v>4.4480349473013758</c:v>
                </c:pt>
                <c:pt idx="496">
                  <c:v>4.4913551303104544</c:v>
                </c:pt>
                <c:pt idx="497">
                  <c:v>5.3034602236128405</c:v>
                </c:pt>
                <c:pt idx="498">
                  <c:v>6.3695414878050736</c:v>
                </c:pt>
                <c:pt idx="499">
                  <c:v>6.391450545878631</c:v>
                </c:pt>
              </c:numCache>
            </c:numRef>
          </c:yVal>
          <c:smooth val="0"/>
          <c:extLst>
            <c:ext xmlns:c16="http://schemas.microsoft.com/office/drawing/2014/chart" uri="{C3380CC4-5D6E-409C-BE32-E72D297353CC}">
              <c16:uniqueId val="{00000002-53AF-43D3-B648-FDBF732F60FE}"/>
            </c:ext>
          </c:extLst>
        </c:ser>
        <c:dLbls>
          <c:showLegendKey val="0"/>
          <c:showVal val="0"/>
          <c:showCatName val="0"/>
          <c:showSerName val="0"/>
          <c:showPercent val="0"/>
          <c:showBubbleSize val="0"/>
        </c:dLbls>
        <c:axId val="618059136"/>
        <c:axId val="618060096"/>
      </c:scatterChart>
      <c:valAx>
        <c:axId val="618059136"/>
        <c:scaling>
          <c:orientation val="minMax"/>
        </c:scaling>
        <c:delete val="0"/>
        <c:axPos val="b"/>
        <c:title>
          <c:tx>
            <c:rich>
              <a:bodyPr/>
              <a:lstStyle/>
              <a:p>
                <a:pPr>
                  <a:defRPr/>
                </a:pPr>
                <a:r>
                  <a:rPr lang="en-GB"/>
                  <a:t>X10 Approval Time (days)</a:t>
                </a:r>
              </a:p>
            </c:rich>
          </c:tx>
          <c:overlay val="0"/>
        </c:title>
        <c:numFmt formatCode="General" sourceLinked="1"/>
        <c:majorTickMark val="out"/>
        <c:minorTickMark val="none"/>
        <c:tickLblPos val="nextTo"/>
        <c:crossAx val="618060096"/>
        <c:crosses val="autoZero"/>
        <c:crossBetween val="midCat"/>
      </c:valAx>
      <c:valAx>
        <c:axId val="618060096"/>
        <c:scaling>
          <c:orientation val="minMax"/>
        </c:scaling>
        <c:delete val="0"/>
        <c:axPos val="l"/>
        <c:title>
          <c:tx>
            <c:rich>
              <a:bodyPr/>
              <a:lstStyle/>
              <a:p>
                <a:pPr>
                  <a:defRPr/>
                </a:pPr>
                <a:r>
                  <a:rPr lang="en-GB"/>
                  <a:t>Y Lead Time (days)</a:t>
                </a:r>
              </a:p>
            </c:rich>
          </c:tx>
          <c:overlay val="0"/>
        </c:title>
        <c:numFmt formatCode="General" sourceLinked="1"/>
        <c:majorTickMark val="out"/>
        <c:minorTickMark val="none"/>
        <c:tickLblPos val="nextTo"/>
        <c:crossAx val="618059136"/>
        <c:crosses val="autoZero"/>
        <c:crossBetween val="midCat"/>
      </c:valAx>
    </c:plotArea>
    <c:legend>
      <c:legendPos val="r"/>
      <c:overlay val="0"/>
    </c:legend>
    <c:plotVisOnly val="1"/>
    <c:dispBlanksAs val="gap"/>
    <c:showDLblsOverMax val="0"/>
    <c:extLst>
      <c:ext xmlns:c16r3="http://schemas.microsoft.com/office/drawing/2017/03/chart" uri="{56B9EC1D-385E-4148-901F-78D8002777C0}">
        <c16r3:dataDisplayOptions16>
          <c16r3:dispNaAsBlank val="1"/>
        </c16r3:dataDisplayOptions16>
      </c:ext>
    </c:extLst>
  </c:chart>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X11 Wait for Info (days) Line Fit  Plot</a:t>
            </a:r>
          </a:p>
        </c:rich>
      </c:tx>
      <c:overlay val="0"/>
    </c:title>
    <c:autoTitleDeleted val="0"/>
    <c:plotArea>
      <c:layout/>
      <c:scatterChart>
        <c:scatterStyle val="lineMarker"/>
        <c:varyColors val="0"/>
        <c:ser>
          <c:idx val="0"/>
          <c:order val="0"/>
          <c:tx>
            <c:v>Y Lead Time (days)</c:v>
          </c:tx>
          <c:spPr>
            <a:ln w="19050">
              <a:noFill/>
            </a:ln>
          </c:spPr>
          <c:xVal>
            <c:numRef>
              <c:f>Regression!$D$4:$D$503</c:f>
              <c:numCache>
                <c:formatCode>General</c:formatCode>
                <c:ptCount val="500"/>
                <c:pt idx="0">
                  <c:v>0</c:v>
                </c:pt>
                <c:pt idx="1">
                  <c:v>0</c:v>
                </c:pt>
                <c:pt idx="2">
                  <c:v>1</c:v>
                </c:pt>
                <c:pt idx="3">
                  <c:v>1</c:v>
                </c:pt>
                <c:pt idx="4">
                  <c:v>1</c:v>
                </c:pt>
                <c:pt idx="5">
                  <c:v>0</c:v>
                </c:pt>
                <c:pt idx="6">
                  <c:v>0</c:v>
                </c:pt>
                <c:pt idx="7">
                  <c:v>0</c:v>
                </c:pt>
                <c:pt idx="8">
                  <c:v>0</c:v>
                </c:pt>
                <c:pt idx="9">
                  <c:v>0</c:v>
                </c:pt>
                <c:pt idx="10">
                  <c:v>0</c:v>
                </c:pt>
                <c:pt idx="11">
                  <c:v>0</c:v>
                </c:pt>
                <c:pt idx="12">
                  <c:v>0</c:v>
                </c:pt>
                <c:pt idx="13">
                  <c:v>2</c:v>
                </c:pt>
                <c:pt idx="14">
                  <c:v>1</c:v>
                </c:pt>
                <c:pt idx="15">
                  <c:v>1</c:v>
                </c:pt>
                <c:pt idx="16">
                  <c:v>0</c:v>
                </c:pt>
                <c:pt idx="17">
                  <c:v>0</c:v>
                </c:pt>
                <c:pt idx="18">
                  <c:v>0</c:v>
                </c:pt>
                <c:pt idx="19">
                  <c:v>1</c:v>
                </c:pt>
                <c:pt idx="20">
                  <c:v>0</c:v>
                </c:pt>
                <c:pt idx="21">
                  <c:v>0</c:v>
                </c:pt>
                <c:pt idx="22">
                  <c:v>0</c:v>
                </c:pt>
                <c:pt idx="23">
                  <c:v>0</c:v>
                </c:pt>
                <c:pt idx="24">
                  <c:v>1</c:v>
                </c:pt>
                <c:pt idx="25">
                  <c:v>0</c:v>
                </c:pt>
                <c:pt idx="26">
                  <c:v>0</c:v>
                </c:pt>
                <c:pt idx="27">
                  <c:v>0</c:v>
                </c:pt>
                <c:pt idx="28">
                  <c:v>0</c:v>
                </c:pt>
                <c:pt idx="29">
                  <c:v>0</c:v>
                </c:pt>
                <c:pt idx="30">
                  <c:v>0</c:v>
                </c:pt>
                <c:pt idx="31">
                  <c:v>0</c:v>
                </c:pt>
                <c:pt idx="32">
                  <c:v>0</c:v>
                </c:pt>
                <c:pt idx="33">
                  <c:v>0</c:v>
                </c:pt>
                <c:pt idx="34">
                  <c:v>0</c:v>
                </c:pt>
                <c:pt idx="35">
                  <c:v>1</c:v>
                </c:pt>
                <c:pt idx="36">
                  <c:v>1</c:v>
                </c:pt>
                <c:pt idx="37">
                  <c:v>0</c:v>
                </c:pt>
                <c:pt idx="38">
                  <c:v>2</c:v>
                </c:pt>
                <c:pt idx="39">
                  <c:v>0</c:v>
                </c:pt>
                <c:pt idx="40">
                  <c:v>2</c:v>
                </c:pt>
                <c:pt idx="41">
                  <c:v>1</c:v>
                </c:pt>
                <c:pt idx="42">
                  <c:v>1</c:v>
                </c:pt>
                <c:pt idx="43">
                  <c:v>1</c:v>
                </c:pt>
                <c:pt idx="44">
                  <c:v>0</c:v>
                </c:pt>
                <c:pt idx="45">
                  <c:v>1</c:v>
                </c:pt>
                <c:pt idx="46">
                  <c:v>0</c:v>
                </c:pt>
                <c:pt idx="47">
                  <c:v>0</c:v>
                </c:pt>
                <c:pt idx="48">
                  <c:v>0</c:v>
                </c:pt>
                <c:pt idx="49">
                  <c:v>0</c:v>
                </c:pt>
                <c:pt idx="50">
                  <c:v>0</c:v>
                </c:pt>
                <c:pt idx="51">
                  <c:v>2</c:v>
                </c:pt>
                <c:pt idx="52">
                  <c:v>1</c:v>
                </c:pt>
                <c:pt idx="53">
                  <c:v>1</c:v>
                </c:pt>
                <c:pt idx="54">
                  <c:v>0</c:v>
                </c:pt>
                <c:pt idx="55">
                  <c:v>0</c:v>
                </c:pt>
                <c:pt idx="56">
                  <c:v>1</c:v>
                </c:pt>
                <c:pt idx="57">
                  <c:v>2</c:v>
                </c:pt>
                <c:pt idx="58">
                  <c:v>1</c:v>
                </c:pt>
                <c:pt idx="59">
                  <c:v>0</c:v>
                </c:pt>
                <c:pt idx="60">
                  <c:v>1</c:v>
                </c:pt>
                <c:pt idx="61">
                  <c:v>0</c:v>
                </c:pt>
                <c:pt idx="62">
                  <c:v>0</c:v>
                </c:pt>
                <c:pt idx="63">
                  <c:v>1</c:v>
                </c:pt>
                <c:pt idx="64">
                  <c:v>0</c:v>
                </c:pt>
                <c:pt idx="65">
                  <c:v>0</c:v>
                </c:pt>
                <c:pt idx="66">
                  <c:v>1</c:v>
                </c:pt>
                <c:pt idx="67">
                  <c:v>0</c:v>
                </c:pt>
                <c:pt idx="68">
                  <c:v>0</c:v>
                </c:pt>
                <c:pt idx="69">
                  <c:v>0</c:v>
                </c:pt>
                <c:pt idx="70">
                  <c:v>1</c:v>
                </c:pt>
                <c:pt idx="71">
                  <c:v>0</c:v>
                </c:pt>
                <c:pt idx="72">
                  <c:v>0</c:v>
                </c:pt>
                <c:pt idx="73">
                  <c:v>0</c:v>
                </c:pt>
                <c:pt idx="74">
                  <c:v>0</c:v>
                </c:pt>
                <c:pt idx="75">
                  <c:v>1</c:v>
                </c:pt>
                <c:pt idx="76">
                  <c:v>1</c:v>
                </c:pt>
                <c:pt idx="77">
                  <c:v>1</c:v>
                </c:pt>
                <c:pt idx="78">
                  <c:v>0</c:v>
                </c:pt>
                <c:pt idx="79">
                  <c:v>0</c:v>
                </c:pt>
                <c:pt idx="80">
                  <c:v>0</c:v>
                </c:pt>
                <c:pt idx="81">
                  <c:v>0</c:v>
                </c:pt>
                <c:pt idx="82">
                  <c:v>1</c:v>
                </c:pt>
                <c:pt idx="83">
                  <c:v>1</c:v>
                </c:pt>
                <c:pt idx="84">
                  <c:v>1</c:v>
                </c:pt>
                <c:pt idx="85">
                  <c:v>1</c:v>
                </c:pt>
                <c:pt idx="86">
                  <c:v>1</c:v>
                </c:pt>
                <c:pt idx="87">
                  <c:v>1</c:v>
                </c:pt>
                <c:pt idx="88">
                  <c:v>0</c:v>
                </c:pt>
                <c:pt idx="89">
                  <c:v>1</c:v>
                </c:pt>
                <c:pt idx="90">
                  <c:v>1</c:v>
                </c:pt>
                <c:pt idx="91">
                  <c:v>0</c:v>
                </c:pt>
                <c:pt idx="92">
                  <c:v>0</c:v>
                </c:pt>
                <c:pt idx="93">
                  <c:v>0</c:v>
                </c:pt>
                <c:pt idx="94">
                  <c:v>1</c:v>
                </c:pt>
                <c:pt idx="95">
                  <c:v>1</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1</c:v>
                </c:pt>
                <c:pt idx="110">
                  <c:v>0</c:v>
                </c:pt>
                <c:pt idx="111">
                  <c:v>1</c:v>
                </c:pt>
                <c:pt idx="112">
                  <c:v>0</c:v>
                </c:pt>
                <c:pt idx="113">
                  <c:v>0</c:v>
                </c:pt>
                <c:pt idx="114">
                  <c:v>1</c:v>
                </c:pt>
                <c:pt idx="115">
                  <c:v>0</c:v>
                </c:pt>
                <c:pt idx="116">
                  <c:v>0</c:v>
                </c:pt>
                <c:pt idx="117">
                  <c:v>0</c:v>
                </c:pt>
                <c:pt idx="118">
                  <c:v>1</c:v>
                </c:pt>
                <c:pt idx="119">
                  <c:v>1</c:v>
                </c:pt>
                <c:pt idx="120">
                  <c:v>1</c:v>
                </c:pt>
                <c:pt idx="121">
                  <c:v>2</c:v>
                </c:pt>
                <c:pt idx="122">
                  <c:v>0</c:v>
                </c:pt>
                <c:pt idx="123">
                  <c:v>0</c:v>
                </c:pt>
                <c:pt idx="124">
                  <c:v>0</c:v>
                </c:pt>
                <c:pt idx="125">
                  <c:v>0</c:v>
                </c:pt>
                <c:pt idx="126">
                  <c:v>0</c:v>
                </c:pt>
                <c:pt idx="127">
                  <c:v>0</c:v>
                </c:pt>
                <c:pt idx="128">
                  <c:v>0</c:v>
                </c:pt>
                <c:pt idx="129">
                  <c:v>0</c:v>
                </c:pt>
                <c:pt idx="130">
                  <c:v>1</c:v>
                </c:pt>
                <c:pt idx="131">
                  <c:v>1</c:v>
                </c:pt>
                <c:pt idx="132">
                  <c:v>1</c:v>
                </c:pt>
                <c:pt idx="133">
                  <c:v>0</c:v>
                </c:pt>
                <c:pt idx="134">
                  <c:v>0</c:v>
                </c:pt>
                <c:pt idx="135">
                  <c:v>0</c:v>
                </c:pt>
                <c:pt idx="136">
                  <c:v>0</c:v>
                </c:pt>
                <c:pt idx="137">
                  <c:v>0</c:v>
                </c:pt>
                <c:pt idx="138">
                  <c:v>0</c:v>
                </c:pt>
                <c:pt idx="139">
                  <c:v>1</c:v>
                </c:pt>
                <c:pt idx="140">
                  <c:v>1</c:v>
                </c:pt>
                <c:pt idx="141">
                  <c:v>1</c:v>
                </c:pt>
                <c:pt idx="142">
                  <c:v>0</c:v>
                </c:pt>
                <c:pt idx="143">
                  <c:v>0</c:v>
                </c:pt>
                <c:pt idx="144">
                  <c:v>0</c:v>
                </c:pt>
                <c:pt idx="145">
                  <c:v>1</c:v>
                </c:pt>
                <c:pt idx="146">
                  <c:v>1</c:v>
                </c:pt>
                <c:pt idx="147">
                  <c:v>0</c:v>
                </c:pt>
                <c:pt idx="148">
                  <c:v>0</c:v>
                </c:pt>
                <c:pt idx="149">
                  <c:v>0</c:v>
                </c:pt>
                <c:pt idx="150">
                  <c:v>0</c:v>
                </c:pt>
                <c:pt idx="151">
                  <c:v>0</c:v>
                </c:pt>
                <c:pt idx="152">
                  <c:v>0</c:v>
                </c:pt>
                <c:pt idx="153">
                  <c:v>2</c:v>
                </c:pt>
                <c:pt idx="154">
                  <c:v>0</c:v>
                </c:pt>
                <c:pt idx="155">
                  <c:v>0</c:v>
                </c:pt>
                <c:pt idx="156">
                  <c:v>2</c:v>
                </c:pt>
                <c:pt idx="157">
                  <c:v>0</c:v>
                </c:pt>
                <c:pt idx="158">
                  <c:v>0</c:v>
                </c:pt>
                <c:pt idx="159">
                  <c:v>0</c:v>
                </c:pt>
                <c:pt idx="160">
                  <c:v>0</c:v>
                </c:pt>
                <c:pt idx="161">
                  <c:v>0</c:v>
                </c:pt>
                <c:pt idx="162">
                  <c:v>0</c:v>
                </c:pt>
                <c:pt idx="163">
                  <c:v>0</c:v>
                </c:pt>
                <c:pt idx="164">
                  <c:v>0</c:v>
                </c:pt>
                <c:pt idx="165">
                  <c:v>2</c:v>
                </c:pt>
                <c:pt idx="166">
                  <c:v>0</c:v>
                </c:pt>
                <c:pt idx="167">
                  <c:v>0</c:v>
                </c:pt>
                <c:pt idx="168">
                  <c:v>0</c:v>
                </c:pt>
                <c:pt idx="169">
                  <c:v>2</c:v>
                </c:pt>
                <c:pt idx="170">
                  <c:v>0</c:v>
                </c:pt>
                <c:pt idx="171">
                  <c:v>0</c:v>
                </c:pt>
                <c:pt idx="172">
                  <c:v>2</c:v>
                </c:pt>
                <c:pt idx="173">
                  <c:v>1</c:v>
                </c:pt>
                <c:pt idx="174">
                  <c:v>1</c:v>
                </c:pt>
                <c:pt idx="175">
                  <c:v>2</c:v>
                </c:pt>
                <c:pt idx="176">
                  <c:v>0</c:v>
                </c:pt>
                <c:pt idx="177">
                  <c:v>0</c:v>
                </c:pt>
                <c:pt idx="178">
                  <c:v>1</c:v>
                </c:pt>
                <c:pt idx="179">
                  <c:v>0</c:v>
                </c:pt>
                <c:pt idx="180">
                  <c:v>0</c:v>
                </c:pt>
                <c:pt idx="181">
                  <c:v>0</c:v>
                </c:pt>
                <c:pt idx="182">
                  <c:v>1</c:v>
                </c:pt>
                <c:pt idx="183">
                  <c:v>0</c:v>
                </c:pt>
                <c:pt idx="184">
                  <c:v>0</c:v>
                </c:pt>
                <c:pt idx="185">
                  <c:v>0</c:v>
                </c:pt>
                <c:pt idx="186">
                  <c:v>0</c:v>
                </c:pt>
                <c:pt idx="187">
                  <c:v>2</c:v>
                </c:pt>
                <c:pt idx="188">
                  <c:v>2</c:v>
                </c:pt>
                <c:pt idx="189">
                  <c:v>0</c:v>
                </c:pt>
                <c:pt idx="190">
                  <c:v>0</c:v>
                </c:pt>
                <c:pt idx="191">
                  <c:v>1</c:v>
                </c:pt>
                <c:pt idx="192">
                  <c:v>0</c:v>
                </c:pt>
                <c:pt idx="193">
                  <c:v>0</c:v>
                </c:pt>
                <c:pt idx="194">
                  <c:v>1</c:v>
                </c:pt>
                <c:pt idx="195">
                  <c:v>1</c:v>
                </c:pt>
                <c:pt idx="196">
                  <c:v>0</c:v>
                </c:pt>
                <c:pt idx="197">
                  <c:v>2</c:v>
                </c:pt>
                <c:pt idx="198">
                  <c:v>0</c:v>
                </c:pt>
                <c:pt idx="199">
                  <c:v>2</c:v>
                </c:pt>
                <c:pt idx="200">
                  <c:v>0</c:v>
                </c:pt>
                <c:pt idx="201">
                  <c:v>0</c:v>
                </c:pt>
                <c:pt idx="202">
                  <c:v>0</c:v>
                </c:pt>
                <c:pt idx="203">
                  <c:v>1</c:v>
                </c:pt>
                <c:pt idx="204">
                  <c:v>1</c:v>
                </c:pt>
                <c:pt idx="205">
                  <c:v>0</c:v>
                </c:pt>
                <c:pt idx="206">
                  <c:v>0</c:v>
                </c:pt>
                <c:pt idx="207">
                  <c:v>1</c:v>
                </c:pt>
                <c:pt idx="208">
                  <c:v>0</c:v>
                </c:pt>
                <c:pt idx="209">
                  <c:v>0</c:v>
                </c:pt>
                <c:pt idx="210">
                  <c:v>0</c:v>
                </c:pt>
                <c:pt idx="211">
                  <c:v>1</c:v>
                </c:pt>
                <c:pt idx="212">
                  <c:v>0</c:v>
                </c:pt>
                <c:pt idx="213">
                  <c:v>0</c:v>
                </c:pt>
                <c:pt idx="214">
                  <c:v>0</c:v>
                </c:pt>
                <c:pt idx="215">
                  <c:v>0</c:v>
                </c:pt>
                <c:pt idx="216">
                  <c:v>0</c:v>
                </c:pt>
                <c:pt idx="217">
                  <c:v>0</c:v>
                </c:pt>
                <c:pt idx="218">
                  <c:v>1</c:v>
                </c:pt>
                <c:pt idx="219">
                  <c:v>0</c:v>
                </c:pt>
                <c:pt idx="220">
                  <c:v>0</c:v>
                </c:pt>
                <c:pt idx="221">
                  <c:v>2</c:v>
                </c:pt>
                <c:pt idx="222">
                  <c:v>1</c:v>
                </c:pt>
                <c:pt idx="223">
                  <c:v>0</c:v>
                </c:pt>
                <c:pt idx="224">
                  <c:v>0</c:v>
                </c:pt>
                <c:pt idx="225">
                  <c:v>1</c:v>
                </c:pt>
                <c:pt idx="226">
                  <c:v>0</c:v>
                </c:pt>
                <c:pt idx="227">
                  <c:v>0</c:v>
                </c:pt>
                <c:pt idx="228">
                  <c:v>1</c:v>
                </c:pt>
                <c:pt idx="229">
                  <c:v>1</c:v>
                </c:pt>
                <c:pt idx="230">
                  <c:v>0</c:v>
                </c:pt>
                <c:pt idx="231">
                  <c:v>1</c:v>
                </c:pt>
                <c:pt idx="232">
                  <c:v>0</c:v>
                </c:pt>
                <c:pt idx="233">
                  <c:v>0</c:v>
                </c:pt>
                <c:pt idx="234">
                  <c:v>2</c:v>
                </c:pt>
                <c:pt idx="235">
                  <c:v>0</c:v>
                </c:pt>
                <c:pt idx="236">
                  <c:v>0</c:v>
                </c:pt>
                <c:pt idx="237">
                  <c:v>0</c:v>
                </c:pt>
                <c:pt idx="238">
                  <c:v>0</c:v>
                </c:pt>
                <c:pt idx="239">
                  <c:v>1</c:v>
                </c:pt>
                <c:pt idx="240">
                  <c:v>0</c:v>
                </c:pt>
                <c:pt idx="241">
                  <c:v>0</c:v>
                </c:pt>
                <c:pt idx="242">
                  <c:v>0</c:v>
                </c:pt>
                <c:pt idx="243">
                  <c:v>0</c:v>
                </c:pt>
                <c:pt idx="244">
                  <c:v>2</c:v>
                </c:pt>
                <c:pt idx="245">
                  <c:v>0</c:v>
                </c:pt>
                <c:pt idx="246">
                  <c:v>0</c:v>
                </c:pt>
                <c:pt idx="247">
                  <c:v>0</c:v>
                </c:pt>
                <c:pt idx="248">
                  <c:v>1</c:v>
                </c:pt>
                <c:pt idx="249">
                  <c:v>1</c:v>
                </c:pt>
                <c:pt idx="250">
                  <c:v>1</c:v>
                </c:pt>
                <c:pt idx="251">
                  <c:v>0</c:v>
                </c:pt>
                <c:pt idx="252">
                  <c:v>0</c:v>
                </c:pt>
                <c:pt idx="253">
                  <c:v>1</c:v>
                </c:pt>
                <c:pt idx="254">
                  <c:v>1</c:v>
                </c:pt>
                <c:pt idx="255">
                  <c:v>0</c:v>
                </c:pt>
                <c:pt idx="256">
                  <c:v>0</c:v>
                </c:pt>
                <c:pt idx="257">
                  <c:v>0</c:v>
                </c:pt>
                <c:pt idx="258">
                  <c:v>0</c:v>
                </c:pt>
                <c:pt idx="259">
                  <c:v>1</c:v>
                </c:pt>
                <c:pt idx="260">
                  <c:v>1</c:v>
                </c:pt>
                <c:pt idx="261">
                  <c:v>1</c:v>
                </c:pt>
                <c:pt idx="262">
                  <c:v>2</c:v>
                </c:pt>
                <c:pt idx="263">
                  <c:v>0</c:v>
                </c:pt>
                <c:pt idx="264">
                  <c:v>1</c:v>
                </c:pt>
                <c:pt idx="265">
                  <c:v>2</c:v>
                </c:pt>
                <c:pt idx="266">
                  <c:v>0</c:v>
                </c:pt>
                <c:pt idx="267">
                  <c:v>2</c:v>
                </c:pt>
                <c:pt idx="268">
                  <c:v>0</c:v>
                </c:pt>
                <c:pt idx="269">
                  <c:v>0</c:v>
                </c:pt>
                <c:pt idx="270">
                  <c:v>0</c:v>
                </c:pt>
                <c:pt idx="271">
                  <c:v>2</c:v>
                </c:pt>
                <c:pt idx="272">
                  <c:v>1</c:v>
                </c:pt>
                <c:pt idx="273">
                  <c:v>0</c:v>
                </c:pt>
                <c:pt idx="274">
                  <c:v>0</c:v>
                </c:pt>
                <c:pt idx="275">
                  <c:v>0</c:v>
                </c:pt>
                <c:pt idx="276">
                  <c:v>0</c:v>
                </c:pt>
                <c:pt idx="277">
                  <c:v>0</c:v>
                </c:pt>
                <c:pt idx="278">
                  <c:v>1</c:v>
                </c:pt>
                <c:pt idx="279">
                  <c:v>0</c:v>
                </c:pt>
                <c:pt idx="280">
                  <c:v>0</c:v>
                </c:pt>
                <c:pt idx="281">
                  <c:v>0</c:v>
                </c:pt>
                <c:pt idx="282">
                  <c:v>1</c:v>
                </c:pt>
                <c:pt idx="283">
                  <c:v>0</c:v>
                </c:pt>
                <c:pt idx="284">
                  <c:v>1</c:v>
                </c:pt>
                <c:pt idx="285">
                  <c:v>1</c:v>
                </c:pt>
                <c:pt idx="286">
                  <c:v>0</c:v>
                </c:pt>
                <c:pt idx="287">
                  <c:v>1</c:v>
                </c:pt>
                <c:pt idx="288">
                  <c:v>0</c:v>
                </c:pt>
                <c:pt idx="289">
                  <c:v>1</c:v>
                </c:pt>
                <c:pt idx="290">
                  <c:v>0</c:v>
                </c:pt>
                <c:pt idx="291">
                  <c:v>0</c:v>
                </c:pt>
                <c:pt idx="292">
                  <c:v>0</c:v>
                </c:pt>
                <c:pt idx="293">
                  <c:v>0</c:v>
                </c:pt>
                <c:pt idx="294">
                  <c:v>0</c:v>
                </c:pt>
                <c:pt idx="295">
                  <c:v>1</c:v>
                </c:pt>
                <c:pt idx="296">
                  <c:v>0</c:v>
                </c:pt>
                <c:pt idx="297">
                  <c:v>0</c:v>
                </c:pt>
                <c:pt idx="298">
                  <c:v>1</c:v>
                </c:pt>
                <c:pt idx="299">
                  <c:v>0</c:v>
                </c:pt>
                <c:pt idx="300">
                  <c:v>1</c:v>
                </c:pt>
                <c:pt idx="301">
                  <c:v>0</c:v>
                </c:pt>
                <c:pt idx="302">
                  <c:v>0</c:v>
                </c:pt>
                <c:pt idx="303">
                  <c:v>0</c:v>
                </c:pt>
                <c:pt idx="304">
                  <c:v>0</c:v>
                </c:pt>
                <c:pt idx="305">
                  <c:v>0</c:v>
                </c:pt>
                <c:pt idx="306">
                  <c:v>0</c:v>
                </c:pt>
                <c:pt idx="307">
                  <c:v>0</c:v>
                </c:pt>
                <c:pt idx="308">
                  <c:v>1</c:v>
                </c:pt>
                <c:pt idx="309">
                  <c:v>2</c:v>
                </c:pt>
                <c:pt idx="310">
                  <c:v>0</c:v>
                </c:pt>
                <c:pt idx="311">
                  <c:v>2</c:v>
                </c:pt>
                <c:pt idx="312">
                  <c:v>0</c:v>
                </c:pt>
                <c:pt idx="313">
                  <c:v>0</c:v>
                </c:pt>
                <c:pt idx="314">
                  <c:v>1</c:v>
                </c:pt>
                <c:pt idx="315">
                  <c:v>1</c:v>
                </c:pt>
                <c:pt idx="316">
                  <c:v>1</c:v>
                </c:pt>
                <c:pt idx="317">
                  <c:v>1</c:v>
                </c:pt>
                <c:pt idx="318">
                  <c:v>2</c:v>
                </c:pt>
                <c:pt idx="319">
                  <c:v>0</c:v>
                </c:pt>
                <c:pt idx="320">
                  <c:v>0</c:v>
                </c:pt>
                <c:pt idx="321">
                  <c:v>0</c:v>
                </c:pt>
                <c:pt idx="322">
                  <c:v>1</c:v>
                </c:pt>
                <c:pt idx="323">
                  <c:v>0</c:v>
                </c:pt>
                <c:pt idx="324">
                  <c:v>1</c:v>
                </c:pt>
                <c:pt idx="325">
                  <c:v>1</c:v>
                </c:pt>
                <c:pt idx="326">
                  <c:v>0</c:v>
                </c:pt>
                <c:pt idx="327">
                  <c:v>0</c:v>
                </c:pt>
                <c:pt idx="328">
                  <c:v>0</c:v>
                </c:pt>
                <c:pt idx="329">
                  <c:v>0</c:v>
                </c:pt>
                <c:pt idx="330">
                  <c:v>0</c:v>
                </c:pt>
                <c:pt idx="331">
                  <c:v>0</c:v>
                </c:pt>
                <c:pt idx="332">
                  <c:v>0</c:v>
                </c:pt>
                <c:pt idx="333">
                  <c:v>0</c:v>
                </c:pt>
                <c:pt idx="334">
                  <c:v>0</c:v>
                </c:pt>
                <c:pt idx="335">
                  <c:v>1</c:v>
                </c:pt>
                <c:pt idx="336">
                  <c:v>0</c:v>
                </c:pt>
                <c:pt idx="337">
                  <c:v>2</c:v>
                </c:pt>
                <c:pt idx="338">
                  <c:v>0</c:v>
                </c:pt>
                <c:pt idx="339">
                  <c:v>0</c:v>
                </c:pt>
                <c:pt idx="340">
                  <c:v>0</c:v>
                </c:pt>
                <c:pt idx="341">
                  <c:v>0</c:v>
                </c:pt>
                <c:pt idx="342">
                  <c:v>1</c:v>
                </c:pt>
                <c:pt idx="343">
                  <c:v>0</c:v>
                </c:pt>
                <c:pt idx="344">
                  <c:v>1</c:v>
                </c:pt>
                <c:pt idx="345">
                  <c:v>0</c:v>
                </c:pt>
                <c:pt idx="346">
                  <c:v>2</c:v>
                </c:pt>
                <c:pt idx="347">
                  <c:v>0</c:v>
                </c:pt>
                <c:pt idx="348">
                  <c:v>0</c:v>
                </c:pt>
                <c:pt idx="349">
                  <c:v>0</c:v>
                </c:pt>
                <c:pt idx="350">
                  <c:v>1</c:v>
                </c:pt>
                <c:pt idx="351">
                  <c:v>0</c:v>
                </c:pt>
                <c:pt idx="352">
                  <c:v>0</c:v>
                </c:pt>
                <c:pt idx="353">
                  <c:v>0</c:v>
                </c:pt>
                <c:pt idx="354">
                  <c:v>0</c:v>
                </c:pt>
                <c:pt idx="355">
                  <c:v>0</c:v>
                </c:pt>
                <c:pt idx="356">
                  <c:v>0</c:v>
                </c:pt>
                <c:pt idx="357">
                  <c:v>1</c:v>
                </c:pt>
                <c:pt idx="358">
                  <c:v>0</c:v>
                </c:pt>
                <c:pt idx="359">
                  <c:v>0</c:v>
                </c:pt>
                <c:pt idx="360">
                  <c:v>0</c:v>
                </c:pt>
                <c:pt idx="361">
                  <c:v>0</c:v>
                </c:pt>
                <c:pt idx="362">
                  <c:v>1</c:v>
                </c:pt>
                <c:pt idx="363">
                  <c:v>0</c:v>
                </c:pt>
                <c:pt idx="364">
                  <c:v>0</c:v>
                </c:pt>
                <c:pt idx="365">
                  <c:v>0</c:v>
                </c:pt>
                <c:pt idx="366">
                  <c:v>2</c:v>
                </c:pt>
                <c:pt idx="367">
                  <c:v>0</c:v>
                </c:pt>
                <c:pt idx="368">
                  <c:v>0</c:v>
                </c:pt>
                <c:pt idx="369">
                  <c:v>1</c:v>
                </c:pt>
                <c:pt idx="370">
                  <c:v>2</c:v>
                </c:pt>
                <c:pt idx="371">
                  <c:v>2</c:v>
                </c:pt>
                <c:pt idx="372">
                  <c:v>0</c:v>
                </c:pt>
                <c:pt idx="373">
                  <c:v>2</c:v>
                </c:pt>
                <c:pt idx="374">
                  <c:v>1</c:v>
                </c:pt>
                <c:pt idx="375">
                  <c:v>2</c:v>
                </c:pt>
                <c:pt idx="376">
                  <c:v>0</c:v>
                </c:pt>
                <c:pt idx="377">
                  <c:v>1</c:v>
                </c:pt>
                <c:pt idx="378">
                  <c:v>0</c:v>
                </c:pt>
                <c:pt idx="379">
                  <c:v>0</c:v>
                </c:pt>
                <c:pt idx="380">
                  <c:v>1</c:v>
                </c:pt>
                <c:pt idx="381">
                  <c:v>1</c:v>
                </c:pt>
                <c:pt idx="382">
                  <c:v>0</c:v>
                </c:pt>
                <c:pt idx="383">
                  <c:v>0</c:v>
                </c:pt>
                <c:pt idx="384">
                  <c:v>0</c:v>
                </c:pt>
                <c:pt idx="385">
                  <c:v>2</c:v>
                </c:pt>
                <c:pt idx="386">
                  <c:v>0</c:v>
                </c:pt>
                <c:pt idx="387">
                  <c:v>1</c:v>
                </c:pt>
                <c:pt idx="388">
                  <c:v>2</c:v>
                </c:pt>
                <c:pt idx="389">
                  <c:v>1</c:v>
                </c:pt>
                <c:pt idx="390">
                  <c:v>2</c:v>
                </c:pt>
                <c:pt idx="391">
                  <c:v>0</c:v>
                </c:pt>
                <c:pt idx="392">
                  <c:v>0</c:v>
                </c:pt>
                <c:pt idx="393">
                  <c:v>2</c:v>
                </c:pt>
                <c:pt idx="394">
                  <c:v>0</c:v>
                </c:pt>
                <c:pt idx="395">
                  <c:v>1</c:v>
                </c:pt>
                <c:pt idx="396">
                  <c:v>0</c:v>
                </c:pt>
                <c:pt idx="397">
                  <c:v>1</c:v>
                </c:pt>
                <c:pt idx="398">
                  <c:v>1</c:v>
                </c:pt>
                <c:pt idx="399">
                  <c:v>2</c:v>
                </c:pt>
                <c:pt idx="400">
                  <c:v>0</c:v>
                </c:pt>
                <c:pt idx="401">
                  <c:v>1</c:v>
                </c:pt>
                <c:pt idx="402">
                  <c:v>0</c:v>
                </c:pt>
                <c:pt idx="403">
                  <c:v>2</c:v>
                </c:pt>
                <c:pt idx="404">
                  <c:v>0</c:v>
                </c:pt>
                <c:pt idx="405">
                  <c:v>1</c:v>
                </c:pt>
                <c:pt idx="406">
                  <c:v>1</c:v>
                </c:pt>
                <c:pt idx="407">
                  <c:v>1</c:v>
                </c:pt>
                <c:pt idx="408">
                  <c:v>1</c:v>
                </c:pt>
                <c:pt idx="409">
                  <c:v>0</c:v>
                </c:pt>
                <c:pt idx="410">
                  <c:v>0</c:v>
                </c:pt>
                <c:pt idx="411">
                  <c:v>0</c:v>
                </c:pt>
                <c:pt idx="412">
                  <c:v>0</c:v>
                </c:pt>
                <c:pt idx="413">
                  <c:v>0</c:v>
                </c:pt>
                <c:pt idx="414">
                  <c:v>0</c:v>
                </c:pt>
                <c:pt idx="415">
                  <c:v>1</c:v>
                </c:pt>
                <c:pt idx="416">
                  <c:v>1</c:v>
                </c:pt>
                <c:pt idx="417">
                  <c:v>0</c:v>
                </c:pt>
                <c:pt idx="418">
                  <c:v>0</c:v>
                </c:pt>
                <c:pt idx="419">
                  <c:v>0</c:v>
                </c:pt>
                <c:pt idx="420">
                  <c:v>1</c:v>
                </c:pt>
                <c:pt idx="421">
                  <c:v>2</c:v>
                </c:pt>
                <c:pt idx="422">
                  <c:v>0</c:v>
                </c:pt>
                <c:pt idx="423">
                  <c:v>1</c:v>
                </c:pt>
                <c:pt idx="424">
                  <c:v>0</c:v>
                </c:pt>
                <c:pt idx="425">
                  <c:v>1</c:v>
                </c:pt>
                <c:pt idx="426">
                  <c:v>0</c:v>
                </c:pt>
                <c:pt idx="427">
                  <c:v>2</c:v>
                </c:pt>
                <c:pt idx="428">
                  <c:v>2</c:v>
                </c:pt>
                <c:pt idx="429">
                  <c:v>0</c:v>
                </c:pt>
                <c:pt idx="430">
                  <c:v>0</c:v>
                </c:pt>
                <c:pt idx="431">
                  <c:v>0</c:v>
                </c:pt>
                <c:pt idx="432">
                  <c:v>1</c:v>
                </c:pt>
                <c:pt idx="433">
                  <c:v>1</c:v>
                </c:pt>
                <c:pt idx="434">
                  <c:v>1</c:v>
                </c:pt>
                <c:pt idx="435">
                  <c:v>0</c:v>
                </c:pt>
                <c:pt idx="436">
                  <c:v>0</c:v>
                </c:pt>
                <c:pt idx="437">
                  <c:v>0</c:v>
                </c:pt>
                <c:pt idx="438">
                  <c:v>0</c:v>
                </c:pt>
                <c:pt idx="439">
                  <c:v>0</c:v>
                </c:pt>
                <c:pt idx="440">
                  <c:v>0</c:v>
                </c:pt>
                <c:pt idx="441">
                  <c:v>2</c:v>
                </c:pt>
                <c:pt idx="442">
                  <c:v>1</c:v>
                </c:pt>
                <c:pt idx="443">
                  <c:v>0</c:v>
                </c:pt>
                <c:pt idx="444">
                  <c:v>0</c:v>
                </c:pt>
                <c:pt idx="445">
                  <c:v>1</c:v>
                </c:pt>
                <c:pt idx="446">
                  <c:v>0</c:v>
                </c:pt>
                <c:pt idx="447">
                  <c:v>1</c:v>
                </c:pt>
                <c:pt idx="448">
                  <c:v>0</c:v>
                </c:pt>
                <c:pt idx="449">
                  <c:v>0</c:v>
                </c:pt>
                <c:pt idx="450">
                  <c:v>1</c:v>
                </c:pt>
                <c:pt idx="451">
                  <c:v>0</c:v>
                </c:pt>
                <c:pt idx="452">
                  <c:v>0</c:v>
                </c:pt>
                <c:pt idx="453">
                  <c:v>1</c:v>
                </c:pt>
                <c:pt idx="454">
                  <c:v>0</c:v>
                </c:pt>
                <c:pt idx="455">
                  <c:v>2</c:v>
                </c:pt>
                <c:pt idx="456">
                  <c:v>1</c:v>
                </c:pt>
                <c:pt idx="457">
                  <c:v>0</c:v>
                </c:pt>
                <c:pt idx="458">
                  <c:v>0</c:v>
                </c:pt>
                <c:pt idx="459">
                  <c:v>2</c:v>
                </c:pt>
                <c:pt idx="460">
                  <c:v>0</c:v>
                </c:pt>
                <c:pt idx="461">
                  <c:v>0</c:v>
                </c:pt>
                <c:pt idx="462">
                  <c:v>0</c:v>
                </c:pt>
                <c:pt idx="463">
                  <c:v>0</c:v>
                </c:pt>
                <c:pt idx="464">
                  <c:v>0</c:v>
                </c:pt>
                <c:pt idx="465">
                  <c:v>0</c:v>
                </c:pt>
                <c:pt idx="466">
                  <c:v>0</c:v>
                </c:pt>
                <c:pt idx="467">
                  <c:v>1</c:v>
                </c:pt>
                <c:pt idx="468">
                  <c:v>0</c:v>
                </c:pt>
                <c:pt idx="469">
                  <c:v>0</c:v>
                </c:pt>
                <c:pt idx="470">
                  <c:v>0</c:v>
                </c:pt>
                <c:pt idx="471">
                  <c:v>0</c:v>
                </c:pt>
                <c:pt idx="472">
                  <c:v>2</c:v>
                </c:pt>
                <c:pt idx="473">
                  <c:v>0</c:v>
                </c:pt>
                <c:pt idx="474">
                  <c:v>1</c:v>
                </c:pt>
                <c:pt idx="475">
                  <c:v>0</c:v>
                </c:pt>
                <c:pt idx="476">
                  <c:v>1</c:v>
                </c:pt>
                <c:pt idx="477">
                  <c:v>0</c:v>
                </c:pt>
                <c:pt idx="478">
                  <c:v>0</c:v>
                </c:pt>
                <c:pt idx="479">
                  <c:v>0</c:v>
                </c:pt>
                <c:pt idx="480">
                  <c:v>1</c:v>
                </c:pt>
                <c:pt idx="481">
                  <c:v>0</c:v>
                </c:pt>
                <c:pt idx="482">
                  <c:v>0</c:v>
                </c:pt>
                <c:pt idx="483">
                  <c:v>0</c:v>
                </c:pt>
                <c:pt idx="484">
                  <c:v>1</c:v>
                </c:pt>
                <c:pt idx="485">
                  <c:v>1</c:v>
                </c:pt>
                <c:pt idx="486">
                  <c:v>1</c:v>
                </c:pt>
                <c:pt idx="487">
                  <c:v>0</c:v>
                </c:pt>
                <c:pt idx="488">
                  <c:v>1</c:v>
                </c:pt>
                <c:pt idx="489">
                  <c:v>1</c:v>
                </c:pt>
                <c:pt idx="490">
                  <c:v>0</c:v>
                </c:pt>
                <c:pt idx="491">
                  <c:v>0</c:v>
                </c:pt>
                <c:pt idx="492">
                  <c:v>0</c:v>
                </c:pt>
                <c:pt idx="493">
                  <c:v>1</c:v>
                </c:pt>
                <c:pt idx="494">
                  <c:v>2</c:v>
                </c:pt>
                <c:pt idx="495">
                  <c:v>0</c:v>
                </c:pt>
                <c:pt idx="496">
                  <c:v>0</c:v>
                </c:pt>
                <c:pt idx="497">
                  <c:v>1</c:v>
                </c:pt>
                <c:pt idx="498">
                  <c:v>1</c:v>
                </c:pt>
                <c:pt idx="499">
                  <c:v>1</c:v>
                </c:pt>
              </c:numCache>
            </c:numRef>
          </c:xVal>
          <c:yVal>
            <c:numRef>
              <c:f>Regression!$A$4:$A$503</c:f>
              <c:numCache>
                <c:formatCode>General</c:formatCode>
                <c:ptCount val="500"/>
                <c:pt idx="0">
                  <c:v>4</c:v>
                </c:pt>
                <c:pt idx="1">
                  <c:v>9</c:v>
                </c:pt>
                <c:pt idx="2">
                  <c:v>6</c:v>
                </c:pt>
                <c:pt idx="3">
                  <c:v>5</c:v>
                </c:pt>
                <c:pt idx="4">
                  <c:v>5</c:v>
                </c:pt>
                <c:pt idx="5">
                  <c:v>5</c:v>
                </c:pt>
                <c:pt idx="6">
                  <c:v>4</c:v>
                </c:pt>
                <c:pt idx="7">
                  <c:v>4</c:v>
                </c:pt>
                <c:pt idx="8">
                  <c:v>4</c:v>
                </c:pt>
                <c:pt idx="9">
                  <c:v>4</c:v>
                </c:pt>
                <c:pt idx="10">
                  <c:v>4</c:v>
                </c:pt>
                <c:pt idx="11">
                  <c:v>8</c:v>
                </c:pt>
                <c:pt idx="12">
                  <c:v>5</c:v>
                </c:pt>
                <c:pt idx="13">
                  <c:v>7</c:v>
                </c:pt>
                <c:pt idx="14">
                  <c:v>7</c:v>
                </c:pt>
                <c:pt idx="15">
                  <c:v>6</c:v>
                </c:pt>
                <c:pt idx="16">
                  <c:v>6</c:v>
                </c:pt>
                <c:pt idx="17">
                  <c:v>10</c:v>
                </c:pt>
                <c:pt idx="18">
                  <c:v>9</c:v>
                </c:pt>
                <c:pt idx="19">
                  <c:v>6</c:v>
                </c:pt>
                <c:pt idx="20">
                  <c:v>5</c:v>
                </c:pt>
                <c:pt idx="21">
                  <c:v>5</c:v>
                </c:pt>
                <c:pt idx="22">
                  <c:v>3</c:v>
                </c:pt>
                <c:pt idx="23">
                  <c:v>8</c:v>
                </c:pt>
                <c:pt idx="24">
                  <c:v>6</c:v>
                </c:pt>
                <c:pt idx="25">
                  <c:v>4</c:v>
                </c:pt>
                <c:pt idx="26">
                  <c:v>4</c:v>
                </c:pt>
                <c:pt idx="27">
                  <c:v>10</c:v>
                </c:pt>
                <c:pt idx="28">
                  <c:v>8</c:v>
                </c:pt>
                <c:pt idx="29">
                  <c:v>5</c:v>
                </c:pt>
                <c:pt idx="30">
                  <c:v>9</c:v>
                </c:pt>
                <c:pt idx="31">
                  <c:v>6</c:v>
                </c:pt>
                <c:pt idx="32">
                  <c:v>4</c:v>
                </c:pt>
                <c:pt idx="33">
                  <c:v>4</c:v>
                </c:pt>
                <c:pt idx="34">
                  <c:v>7</c:v>
                </c:pt>
                <c:pt idx="35">
                  <c:v>5</c:v>
                </c:pt>
                <c:pt idx="36">
                  <c:v>6</c:v>
                </c:pt>
                <c:pt idx="37">
                  <c:v>7</c:v>
                </c:pt>
                <c:pt idx="38">
                  <c:v>5</c:v>
                </c:pt>
                <c:pt idx="39">
                  <c:v>3</c:v>
                </c:pt>
                <c:pt idx="40">
                  <c:v>7</c:v>
                </c:pt>
                <c:pt idx="41">
                  <c:v>7</c:v>
                </c:pt>
                <c:pt idx="42">
                  <c:v>6</c:v>
                </c:pt>
                <c:pt idx="43">
                  <c:v>5</c:v>
                </c:pt>
                <c:pt idx="44">
                  <c:v>8</c:v>
                </c:pt>
                <c:pt idx="45">
                  <c:v>6</c:v>
                </c:pt>
                <c:pt idx="46">
                  <c:v>4</c:v>
                </c:pt>
                <c:pt idx="47">
                  <c:v>3</c:v>
                </c:pt>
                <c:pt idx="48">
                  <c:v>4</c:v>
                </c:pt>
                <c:pt idx="49">
                  <c:v>9</c:v>
                </c:pt>
                <c:pt idx="50">
                  <c:v>3</c:v>
                </c:pt>
                <c:pt idx="51">
                  <c:v>5</c:v>
                </c:pt>
                <c:pt idx="52">
                  <c:v>6</c:v>
                </c:pt>
                <c:pt idx="53">
                  <c:v>6</c:v>
                </c:pt>
                <c:pt idx="54">
                  <c:v>8</c:v>
                </c:pt>
                <c:pt idx="55">
                  <c:v>3</c:v>
                </c:pt>
                <c:pt idx="56">
                  <c:v>6</c:v>
                </c:pt>
                <c:pt idx="57">
                  <c:v>7</c:v>
                </c:pt>
                <c:pt idx="58">
                  <c:v>7</c:v>
                </c:pt>
                <c:pt idx="59">
                  <c:v>3</c:v>
                </c:pt>
                <c:pt idx="60">
                  <c:v>6</c:v>
                </c:pt>
                <c:pt idx="61">
                  <c:v>5</c:v>
                </c:pt>
                <c:pt idx="62">
                  <c:v>4</c:v>
                </c:pt>
                <c:pt idx="63">
                  <c:v>6</c:v>
                </c:pt>
                <c:pt idx="64">
                  <c:v>5</c:v>
                </c:pt>
                <c:pt idx="65">
                  <c:v>4</c:v>
                </c:pt>
                <c:pt idx="66">
                  <c:v>6</c:v>
                </c:pt>
                <c:pt idx="67">
                  <c:v>7</c:v>
                </c:pt>
                <c:pt idx="68">
                  <c:v>5</c:v>
                </c:pt>
                <c:pt idx="69">
                  <c:v>5</c:v>
                </c:pt>
                <c:pt idx="70">
                  <c:v>4</c:v>
                </c:pt>
                <c:pt idx="71">
                  <c:v>7</c:v>
                </c:pt>
                <c:pt idx="72">
                  <c:v>5</c:v>
                </c:pt>
                <c:pt idx="73">
                  <c:v>7</c:v>
                </c:pt>
                <c:pt idx="74">
                  <c:v>5</c:v>
                </c:pt>
                <c:pt idx="75">
                  <c:v>5</c:v>
                </c:pt>
                <c:pt idx="76">
                  <c:v>6</c:v>
                </c:pt>
                <c:pt idx="77">
                  <c:v>5</c:v>
                </c:pt>
                <c:pt idx="78">
                  <c:v>7</c:v>
                </c:pt>
                <c:pt idx="79">
                  <c:v>4</c:v>
                </c:pt>
                <c:pt idx="80">
                  <c:v>7</c:v>
                </c:pt>
                <c:pt idx="81">
                  <c:v>4</c:v>
                </c:pt>
                <c:pt idx="82">
                  <c:v>6</c:v>
                </c:pt>
                <c:pt idx="83">
                  <c:v>6</c:v>
                </c:pt>
                <c:pt idx="84">
                  <c:v>4</c:v>
                </c:pt>
                <c:pt idx="85">
                  <c:v>4</c:v>
                </c:pt>
                <c:pt idx="86">
                  <c:v>6</c:v>
                </c:pt>
                <c:pt idx="87">
                  <c:v>5</c:v>
                </c:pt>
                <c:pt idx="88">
                  <c:v>5</c:v>
                </c:pt>
                <c:pt idx="89">
                  <c:v>6</c:v>
                </c:pt>
                <c:pt idx="90">
                  <c:v>6</c:v>
                </c:pt>
                <c:pt idx="91">
                  <c:v>4</c:v>
                </c:pt>
                <c:pt idx="92">
                  <c:v>3</c:v>
                </c:pt>
                <c:pt idx="93">
                  <c:v>4</c:v>
                </c:pt>
                <c:pt idx="94">
                  <c:v>6</c:v>
                </c:pt>
                <c:pt idx="95">
                  <c:v>5</c:v>
                </c:pt>
                <c:pt idx="96">
                  <c:v>8</c:v>
                </c:pt>
                <c:pt idx="97">
                  <c:v>5</c:v>
                </c:pt>
                <c:pt idx="98">
                  <c:v>5</c:v>
                </c:pt>
                <c:pt idx="99">
                  <c:v>6</c:v>
                </c:pt>
                <c:pt idx="100">
                  <c:v>6</c:v>
                </c:pt>
                <c:pt idx="101">
                  <c:v>6</c:v>
                </c:pt>
                <c:pt idx="102">
                  <c:v>6</c:v>
                </c:pt>
                <c:pt idx="103">
                  <c:v>6</c:v>
                </c:pt>
                <c:pt idx="104">
                  <c:v>7</c:v>
                </c:pt>
                <c:pt idx="105">
                  <c:v>7</c:v>
                </c:pt>
                <c:pt idx="106">
                  <c:v>7</c:v>
                </c:pt>
                <c:pt idx="107">
                  <c:v>7</c:v>
                </c:pt>
                <c:pt idx="108">
                  <c:v>7</c:v>
                </c:pt>
                <c:pt idx="109">
                  <c:v>5</c:v>
                </c:pt>
                <c:pt idx="110">
                  <c:v>6</c:v>
                </c:pt>
                <c:pt idx="111">
                  <c:v>5</c:v>
                </c:pt>
                <c:pt idx="112">
                  <c:v>4</c:v>
                </c:pt>
                <c:pt idx="113">
                  <c:v>3</c:v>
                </c:pt>
                <c:pt idx="114">
                  <c:v>4</c:v>
                </c:pt>
                <c:pt idx="115">
                  <c:v>3</c:v>
                </c:pt>
                <c:pt idx="116">
                  <c:v>5</c:v>
                </c:pt>
                <c:pt idx="117">
                  <c:v>4</c:v>
                </c:pt>
                <c:pt idx="118">
                  <c:v>7</c:v>
                </c:pt>
                <c:pt idx="119">
                  <c:v>6</c:v>
                </c:pt>
                <c:pt idx="120">
                  <c:v>6</c:v>
                </c:pt>
                <c:pt idx="121">
                  <c:v>7</c:v>
                </c:pt>
                <c:pt idx="122">
                  <c:v>3</c:v>
                </c:pt>
                <c:pt idx="123">
                  <c:v>9</c:v>
                </c:pt>
                <c:pt idx="124">
                  <c:v>5</c:v>
                </c:pt>
                <c:pt idx="125">
                  <c:v>5</c:v>
                </c:pt>
                <c:pt idx="126">
                  <c:v>4</c:v>
                </c:pt>
                <c:pt idx="127">
                  <c:v>7</c:v>
                </c:pt>
                <c:pt idx="128">
                  <c:v>5</c:v>
                </c:pt>
                <c:pt idx="129">
                  <c:v>3</c:v>
                </c:pt>
                <c:pt idx="130">
                  <c:v>7</c:v>
                </c:pt>
                <c:pt idx="131">
                  <c:v>5</c:v>
                </c:pt>
                <c:pt idx="132">
                  <c:v>6</c:v>
                </c:pt>
                <c:pt idx="133">
                  <c:v>6</c:v>
                </c:pt>
                <c:pt idx="134">
                  <c:v>4</c:v>
                </c:pt>
                <c:pt idx="135">
                  <c:v>3</c:v>
                </c:pt>
                <c:pt idx="136">
                  <c:v>3</c:v>
                </c:pt>
                <c:pt idx="137">
                  <c:v>4</c:v>
                </c:pt>
                <c:pt idx="138">
                  <c:v>4</c:v>
                </c:pt>
                <c:pt idx="139">
                  <c:v>6</c:v>
                </c:pt>
                <c:pt idx="140">
                  <c:v>6</c:v>
                </c:pt>
                <c:pt idx="141">
                  <c:v>7</c:v>
                </c:pt>
                <c:pt idx="142">
                  <c:v>6</c:v>
                </c:pt>
                <c:pt idx="143">
                  <c:v>4</c:v>
                </c:pt>
                <c:pt idx="144">
                  <c:v>3</c:v>
                </c:pt>
                <c:pt idx="145">
                  <c:v>7</c:v>
                </c:pt>
                <c:pt idx="146">
                  <c:v>5</c:v>
                </c:pt>
                <c:pt idx="147">
                  <c:v>3</c:v>
                </c:pt>
                <c:pt idx="148">
                  <c:v>5</c:v>
                </c:pt>
                <c:pt idx="149">
                  <c:v>3</c:v>
                </c:pt>
                <c:pt idx="150">
                  <c:v>4</c:v>
                </c:pt>
                <c:pt idx="151">
                  <c:v>4</c:v>
                </c:pt>
                <c:pt idx="152">
                  <c:v>4</c:v>
                </c:pt>
                <c:pt idx="153">
                  <c:v>6</c:v>
                </c:pt>
                <c:pt idx="154">
                  <c:v>4</c:v>
                </c:pt>
                <c:pt idx="155">
                  <c:v>5</c:v>
                </c:pt>
                <c:pt idx="156">
                  <c:v>6</c:v>
                </c:pt>
                <c:pt idx="157">
                  <c:v>5</c:v>
                </c:pt>
                <c:pt idx="158">
                  <c:v>4</c:v>
                </c:pt>
                <c:pt idx="159">
                  <c:v>4</c:v>
                </c:pt>
                <c:pt idx="160">
                  <c:v>5</c:v>
                </c:pt>
                <c:pt idx="161">
                  <c:v>4</c:v>
                </c:pt>
                <c:pt idx="162">
                  <c:v>5</c:v>
                </c:pt>
                <c:pt idx="163">
                  <c:v>8</c:v>
                </c:pt>
                <c:pt idx="164">
                  <c:v>5</c:v>
                </c:pt>
                <c:pt idx="165">
                  <c:v>6</c:v>
                </c:pt>
                <c:pt idx="166">
                  <c:v>5</c:v>
                </c:pt>
                <c:pt idx="167">
                  <c:v>4</c:v>
                </c:pt>
                <c:pt idx="168">
                  <c:v>4</c:v>
                </c:pt>
                <c:pt idx="169">
                  <c:v>6</c:v>
                </c:pt>
                <c:pt idx="170">
                  <c:v>4</c:v>
                </c:pt>
                <c:pt idx="171">
                  <c:v>7</c:v>
                </c:pt>
                <c:pt idx="172">
                  <c:v>6</c:v>
                </c:pt>
                <c:pt idx="173">
                  <c:v>5</c:v>
                </c:pt>
                <c:pt idx="174">
                  <c:v>5</c:v>
                </c:pt>
                <c:pt idx="175">
                  <c:v>6</c:v>
                </c:pt>
                <c:pt idx="176">
                  <c:v>7</c:v>
                </c:pt>
                <c:pt idx="177">
                  <c:v>3</c:v>
                </c:pt>
                <c:pt idx="178">
                  <c:v>5</c:v>
                </c:pt>
                <c:pt idx="179">
                  <c:v>4</c:v>
                </c:pt>
                <c:pt idx="180">
                  <c:v>5</c:v>
                </c:pt>
                <c:pt idx="181">
                  <c:v>8</c:v>
                </c:pt>
                <c:pt idx="182">
                  <c:v>7</c:v>
                </c:pt>
                <c:pt idx="183">
                  <c:v>5</c:v>
                </c:pt>
                <c:pt idx="184">
                  <c:v>3</c:v>
                </c:pt>
                <c:pt idx="185">
                  <c:v>4</c:v>
                </c:pt>
                <c:pt idx="186">
                  <c:v>6</c:v>
                </c:pt>
                <c:pt idx="187">
                  <c:v>6</c:v>
                </c:pt>
                <c:pt idx="188">
                  <c:v>6</c:v>
                </c:pt>
                <c:pt idx="189">
                  <c:v>5</c:v>
                </c:pt>
                <c:pt idx="190">
                  <c:v>5</c:v>
                </c:pt>
                <c:pt idx="191">
                  <c:v>6</c:v>
                </c:pt>
                <c:pt idx="192">
                  <c:v>3</c:v>
                </c:pt>
                <c:pt idx="193">
                  <c:v>8</c:v>
                </c:pt>
                <c:pt idx="194">
                  <c:v>6</c:v>
                </c:pt>
                <c:pt idx="195">
                  <c:v>6</c:v>
                </c:pt>
                <c:pt idx="196">
                  <c:v>3</c:v>
                </c:pt>
                <c:pt idx="197">
                  <c:v>6</c:v>
                </c:pt>
                <c:pt idx="198">
                  <c:v>4</c:v>
                </c:pt>
                <c:pt idx="199">
                  <c:v>7</c:v>
                </c:pt>
                <c:pt idx="200">
                  <c:v>3</c:v>
                </c:pt>
                <c:pt idx="201">
                  <c:v>5</c:v>
                </c:pt>
                <c:pt idx="202">
                  <c:v>5</c:v>
                </c:pt>
                <c:pt idx="203">
                  <c:v>6</c:v>
                </c:pt>
                <c:pt idx="204">
                  <c:v>7</c:v>
                </c:pt>
                <c:pt idx="205">
                  <c:v>10</c:v>
                </c:pt>
                <c:pt idx="206">
                  <c:v>5</c:v>
                </c:pt>
                <c:pt idx="207">
                  <c:v>6</c:v>
                </c:pt>
                <c:pt idx="208">
                  <c:v>3</c:v>
                </c:pt>
                <c:pt idx="209">
                  <c:v>5</c:v>
                </c:pt>
                <c:pt idx="210">
                  <c:v>5</c:v>
                </c:pt>
                <c:pt idx="211">
                  <c:v>5</c:v>
                </c:pt>
                <c:pt idx="212">
                  <c:v>4</c:v>
                </c:pt>
                <c:pt idx="213">
                  <c:v>4</c:v>
                </c:pt>
                <c:pt idx="214">
                  <c:v>5</c:v>
                </c:pt>
                <c:pt idx="215">
                  <c:v>7</c:v>
                </c:pt>
                <c:pt idx="216">
                  <c:v>4</c:v>
                </c:pt>
                <c:pt idx="217">
                  <c:v>4</c:v>
                </c:pt>
                <c:pt idx="218">
                  <c:v>7</c:v>
                </c:pt>
                <c:pt idx="219">
                  <c:v>5</c:v>
                </c:pt>
                <c:pt idx="220">
                  <c:v>3</c:v>
                </c:pt>
                <c:pt idx="221">
                  <c:v>4</c:v>
                </c:pt>
                <c:pt idx="222">
                  <c:v>4</c:v>
                </c:pt>
                <c:pt idx="223">
                  <c:v>8</c:v>
                </c:pt>
                <c:pt idx="224">
                  <c:v>6</c:v>
                </c:pt>
                <c:pt idx="225">
                  <c:v>6</c:v>
                </c:pt>
                <c:pt idx="226">
                  <c:v>8</c:v>
                </c:pt>
                <c:pt idx="227">
                  <c:v>4</c:v>
                </c:pt>
                <c:pt idx="228">
                  <c:v>6</c:v>
                </c:pt>
                <c:pt idx="229">
                  <c:v>6</c:v>
                </c:pt>
                <c:pt idx="230">
                  <c:v>6</c:v>
                </c:pt>
                <c:pt idx="231">
                  <c:v>7</c:v>
                </c:pt>
                <c:pt idx="232">
                  <c:v>5</c:v>
                </c:pt>
                <c:pt idx="233">
                  <c:v>8</c:v>
                </c:pt>
                <c:pt idx="234">
                  <c:v>7</c:v>
                </c:pt>
                <c:pt idx="235">
                  <c:v>3</c:v>
                </c:pt>
                <c:pt idx="236">
                  <c:v>5</c:v>
                </c:pt>
                <c:pt idx="237">
                  <c:v>4</c:v>
                </c:pt>
                <c:pt idx="238">
                  <c:v>5</c:v>
                </c:pt>
                <c:pt idx="239">
                  <c:v>7</c:v>
                </c:pt>
                <c:pt idx="240">
                  <c:v>3</c:v>
                </c:pt>
                <c:pt idx="241">
                  <c:v>8</c:v>
                </c:pt>
                <c:pt idx="242">
                  <c:v>5</c:v>
                </c:pt>
                <c:pt idx="243">
                  <c:v>8</c:v>
                </c:pt>
                <c:pt idx="244">
                  <c:v>6</c:v>
                </c:pt>
                <c:pt idx="245">
                  <c:v>5</c:v>
                </c:pt>
                <c:pt idx="246">
                  <c:v>3</c:v>
                </c:pt>
                <c:pt idx="247">
                  <c:v>5</c:v>
                </c:pt>
                <c:pt idx="248">
                  <c:v>6</c:v>
                </c:pt>
                <c:pt idx="249">
                  <c:v>7</c:v>
                </c:pt>
                <c:pt idx="250">
                  <c:v>7</c:v>
                </c:pt>
                <c:pt idx="251">
                  <c:v>7</c:v>
                </c:pt>
                <c:pt idx="252">
                  <c:v>5</c:v>
                </c:pt>
                <c:pt idx="253">
                  <c:v>6</c:v>
                </c:pt>
                <c:pt idx="254">
                  <c:v>6</c:v>
                </c:pt>
                <c:pt idx="255">
                  <c:v>3</c:v>
                </c:pt>
                <c:pt idx="256">
                  <c:v>5</c:v>
                </c:pt>
                <c:pt idx="257">
                  <c:v>6</c:v>
                </c:pt>
                <c:pt idx="258">
                  <c:v>6</c:v>
                </c:pt>
                <c:pt idx="259">
                  <c:v>6</c:v>
                </c:pt>
                <c:pt idx="260">
                  <c:v>4</c:v>
                </c:pt>
                <c:pt idx="261">
                  <c:v>4</c:v>
                </c:pt>
                <c:pt idx="262">
                  <c:v>7</c:v>
                </c:pt>
                <c:pt idx="263">
                  <c:v>3</c:v>
                </c:pt>
                <c:pt idx="264">
                  <c:v>7</c:v>
                </c:pt>
                <c:pt idx="265">
                  <c:v>7</c:v>
                </c:pt>
                <c:pt idx="266">
                  <c:v>5</c:v>
                </c:pt>
                <c:pt idx="267">
                  <c:v>7</c:v>
                </c:pt>
                <c:pt idx="268">
                  <c:v>10</c:v>
                </c:pt>
                <c:pt idx="269">
                  <c:v>8</c:v>
                </c:pt>
                <c:pt idx="270">
                  <c:v>4</c:v>
                </c:pt>
                <c:pt idx="271">
                  <c:v>6</c:v>
                </c:pt>
                <c:pt idx="272">
                  <c:v>6</c:v>
                </c:pt>
                <c:pt idx="273">
                  <c:v>6</c:v>
                </c:pt>
                <c:pt idx="274">
                  <c:v>6</c:v>
                </c:pt>
                <c:pt idx="275">
                  <c:v>9</c:v>
                </c:pt>
                <c:pt idx="276">
                  <c:v>7</c:v>
                </c:pt>
                <c:pt idx="277">
                  <c:v>8</c:v>
                </c:pt>
                <c:pt idx="278">
                  <c:v>6</c:v>
                </c:pt>
                <c:pt idx="279">
                  <c:v>5</c:v>
                </c:pt>
                <c:pt idx="280">
                  <c:v>4</c:v>
                </c:pt>
                <c:pt idx="281">
                  <c:v>6</c:v>
                </c:pt>
                <c:pt idx="282">
                  <c:v>6</c:v>
                </c:pt>
                <c:pt idx="283">
                  <c:v>8</c:v>
                </c:pt>
                <c:pt idx="284">
                  <c:v>5</c:v>
                </c:pt>
                <c:pt idx="285">
                  <c:v>5</c:v>
                </c:pt>
                <c:pt idx="286">
                  <c:v>5</c:v>
                </c:pt>
                <c:pt idx="287">
                  <c:v>6</c:v>
                </c:pt>
                <c:pt idx="288">
                  <c:v>3</c:v>
                </c:pt>
                <c:pt idx="289">
                  <c:v>6</c:v>
                </c:pt>
                <c:pt idx="290">
                  <c:v>4</c:v>
                </c:pt>
                <c:pt idx="291">
                  <c:v>4</c:v>
                </c:pt>
                <c:pt idx="292">
                  <c:v>5</c:v>
                </c:pt>
                <c:pt idx="293">
                  <c:v>5</c:v>
                </c:pt>
                <c:pt idx="294">
                  <c:v>4</c:v>
                </c:pt>
                <c:pt idx="295">
                  <c:v>7</c:v>
                </c:pt>
                <c:pt idx="296">
                  <c:v>4</c:v>
                </c:pt>
                <c:pt idx="297">
                  <c:v>4</c:v>
                </c:pt>
                <c:pt idx="298">
                  <c:v>6</c:v>
                </c:pt>
                <c:pt idx="299">
                  <c:v>5</c:v>
                </c:pt>
                <c:pt idx="300">
                  <c:v>5</c:v>
                </c:pt>
                <c:pt idx="301">
                  <c:v>4</c:v>
                </c:pt>
                <c:pt idx="302">
                  <c:v>4</c:v>
                </c:pt>
                <c:pt idx="303">
                  <c:v>4</c:v>
                </c:pt>
                <c:pt idx="304">
                  <c:v>5</c:v>
                </c:pt>
                <c:pt idx="305">
                  <c:v>7</c:v>
                </c:pt>
                <c:pt idx="306">
                  <c:v>5</c:v>
                </c:pt>
                <c:pt idx="307">
                  <c:v>3</c:v>
                </c:pt>
                <c:pt idx="308">
                  <c:v>6</c:v>
                </c:pt>
                <c:pt idx="309">
                  <c:v>7</c:v>
                </c:pt>
                <c:pt idx="310">
                  <c:v>4</c:v>
                </c:pt>
                <c:pt idx="311">
                  <c:v>6</c:v>
                </c:pt>
                <c:pt idx="312">
                  <c:v>4</c:v>
                </c:pt>
                <c:pt idx="313">
                  <c:v>7</c:v>
                </c:pt>
                <c:pt idx="314">
                  <c:v>5</c:v>
                </c:pt>
                <c:pt idx="315">
                  <c:v>5</c:v>
                </c:pt>
                <c:pt idx="316">
                  <c:v>5</c:v>
                </c:pt>
                <c:pt idx="317">
                  <c:v>6</c:v>
                </c:pt>
                <c:pt idx="318">
                  <c:v>4</c:v>
                </c:pt>
                <c:pt idx="319">
                  <c:v>5</c:v>
                </c:pt>
                <c:pt idx="320">
                  <c:v>4</c:v>
                </c:pt>
                <c:pt idx="321">
                  <c:v>5</c:v>
                </c:pt>
                <c:pt idx="322">
                  <c:v>6</c:v>
                </c:pt>
                <c:pt idx="323">
                  <c:v>3</c:v>
                </c:pt>
                <c:pt idx="324">
                  <c:v>5</c:v>
                </c:pt>
                <c:pt idx="325">
                  <c:v>5</c:v>
                </c:pt>
                <c:pt idx="326">
                  <c:v>4</c:v>
                </c:pt>
                <c:pt idx="327">
                  <c:v>4</c:v>
                </c:pt>
                <c:pt idx="328">
                  <c:v>5</c:v>
                </c:pt>
                <c:pt idx="329">
                  <c:v>5</c:v>
                </c:pt>
                <c:pt idx="330">
                  <c:v>6</c:v>
                </c:pt>
                <c:pt idx="331">
                  <c:v>4</c:v>
                </c:pt>
                <c:pt idx="332">
                  <c:v>4</c:v>
                </c:pt>
                <c:pt idx="333">
                  <c:v>4</c:v>
                </c:pt>
                <c:pt idx="334">
                  <c:v>8</c:v>
                </c:pt>
                <c:pt idx="335">
                  <c:v>6</c:v>
                </c:pt>
                <c:pt idx="336">
                  <c:v>7</c:v>
                </c:pt>
                <c:pt idx="337">
                  <c:v>6</c:v>
                </c:pt>
                <c:pt idx="338">
                  <c:v>5</c:v>
                </c:pt>
                <c:pt idx="339">
                  <c:v>8</c:v>
                </c:pt>
                <c:pt idx="340">
                  <c:v>5</c:v>
                </c:pt>
                <c:pt idx="341">
                  <c:v>3</c:v>
                </c:pt>
                <c:pt idx="342">
                  <c:v>7</c:v>
                </c:pt>
                <c:pt idx="343">
                  <c:v>6</c:v>
                </c:pt>
                <c:pt idx="344">
                  <c:v>6</c:v>
                </c:pt>
                <c:pt idx="345">
                  <c:v>8</c:v>
                </c:pt>
                <c:pt idx="346">
                  <c:v>7</c:v>
                </c:pt>
                <c:pt idx="347">
                  <c:v>6</c:v>
                </c:pt>
                <c:pt idx="348">
                  <c:v>3</c:v>
                </c:pt>
                <c:pt idx="349">
                  <c:v>5</c:v>
                </c:pt>
                <c:pt idx="350">
                  <c:v>5</c:v>
                </c:pt>
                <c:pt idx="351">
                  <c:v>4</c:v>
                </c:pt>
                <c:pt idx="352">
                  <c:v>4</c:v>
                </c:pt>
                <c:pt idx="353">
                  <c:v>3</c:v>
                </c:pt>
                <c:pt idx="354">
                  <c:v>5</c:v>
                </c:pt>
                <c:pt idx="355">
                  <c:v>5</c:v>
                </c:pt>
                <c:pt idx="356">
                  <c:v>8</c:v>
                </c:pt>
                <c:pt idx="357">
                  <c:v>7</c:v>
                </c:pt>
                <c:pt idx="358">
                  <c:v>4</c:v>
                </c:pt>
                <c:pt idx="359">
                  <c:v>4</c:v>
                </c:pt>
                <c:pt idx="360">
                  <c:v>3</c:v>
                </c:pt>
                <c:pt idx="361">
                  <c:v>4</c:v>
                </c:pt>
                <c:pt idx="362">
                  <c:v>6</c:v>
                </c:pt>
                <c:pt idx="363">
                  <c:v>4</c:v>
                </c:pt>
                <c:pt idx="364">
                  <c:v>6</c:v>
                </c:pt>
                <c:pt idx="365">
                  <c:v>4</c:v>
                </c:pt>
                <c:pt idx="366">
                  <c:v>7</c:v>
                </c:pt>
                <c:pt idx="367">
                  <c:v>4</c:v>
                </c:pt>
                <c:pt idx="368">
                  <c:v>8</c:v>
                </c:pt>
                <c:pt idx="369">
                  <c:v>6</c:v>
                </c:pt>
                <c:pt idx="370">
                  <c:v>7</c:v>
                </c:pt>
                <c:pt idx="371">
                  <c:v>7</c:v>
                </c:pt>
                <c:pt idx="372">
                  <c:v>6</c:v>
                </c:pt>
                <c:pt idx="373">
                  <c:v>6</c:v>
                </c:pt>
                <c:pt idx="374">
                  <c:v>4</c:v>
                </c:pt>
                <c:pt idx="375">
                  <c:v>5</c:v>
                </c:pt>
                <c:pt idx="376">
                  <c:v>3</c:v>
                </c:pt>
                <c:pt idx="377">
                  <c:v>6</c:v>
                </c:pt>
                <c:pt idx="378">
                  <c:v>3</c:v>
                </c:pt>
                <c:pt idx="379">
                  <c:v>7</c:v>
                </c:pt>
                <c:pt idx="380">
                  <c:v>7</c:v>
                </c:pt>
                <c:pt idx="381">
                  <c:v>6</c:v>
                </c:pt>
                <c:pt idx="382">
                  <c:v>3</c:v>
                </c:pt>
                <c:pt idx="383">
                  <c:v>4</c:v>
                </c:pt>
                <c:pt idx="384">
                  <c:v>7</c:v>
                </c:pt>
                <c:pt idx="385">
                  <c:v>5</c:v>
                </c:pt>
                <c:pt idx="386">
                  <c:v>6</c:v>
                </c:pt>
                <c:pt idx="387">
                  <c:v>6</c:v>
                </c:pt>
                <c:pt idx="388">
                  <c:v>6</c:v>
                </c:pt>
                <c:pt idx="389">
                  <c:v>5</c:v>
                </c:pt>
                <c:pt idx="390">
                  <c:v>6</c:v>
                </c:pt>
                <c:pt idx="391">
                  <c:v>4</c:v>
                </c:pt>
                <c:pt idx="392">
                  <c:v>4</c:v>
                </c:pt>
                <c:pt idx="393">
                  <c:v>6</c:v>
                </c:pt>
                <c:pt idx="394">
                  <c:v>8</c:v>
                </c:pt>
                <c:pt idx="395">
                  <c:v>5</c:v>
                </c:pt>
                <c:pt idx="396">
                  <c:v>4</c:v>
                </c:pt>
                <c:pt idx="397">
                  <c:v>6</c:v>
                </c:pt>
                <c:pt idx="398">
                  <c:v>4</c:v>
                </c:pt>
                <c:pt idx="399">
                  <c:v>5</c:v>
                </c:pt>
                <c:pt idx="400">
                  <c:v>3</c:v>
                </c:pt>
                <c:pt idx="401">
                  <c:v>6</c:v>
                </c:pt>
                <c:pt idx="402">
                  <c:v>5</c:v>
                </c:pt>
                <c:pt idx="403">
                  <c:v>6</c:v>
                </c:pt>
                <c:pt idx="404">
                  <c:v>7</c:v>
                </c:pt>
                <c:pt idx="405">
                  <c:v>5</c:v>
                </c:pt>
                <c:pt idx="406">
                  <c:v>5</c:v>
                </c:pt>
                <c:pt idx="407">
                  <c:v>5</c:v>
                </c:pt>
                <c:pt idx="408">
                  <c:v>5</c:v>
                </c:pt>
                <c:pt idx="409">
                  <c:v>6</c:v>
                </c:pt>
                <c:pt idx="410">
                  <c:v>5</c:v>
                </c:pt>
                <c:pt idx="411">
                  <c:v>4</c:v>
                </c:pt>
                <c:pt idx="412">
                  <c:v>5</c:v>
                </c:pt>
                <c:pt idx="413">
                  <c:v>5</c:v>
                </c:pt>
                <c:pt idx="414">
                  <c:v>4</c:v>
                </c:pt>
                <c:pt idx="415">
                  <c:v>6</c:v>
                </c:pt>
                <c:pt idx="416">
                  <c:v>6</c:v>
                </c:pt>
                <c:pt idx="417">
                  <c:v>4</c:v>
                </c:pt>
                <c:pt idx="418">
                  <c:v>4</c:v>
                </c:pt>
                <c:pt idx="419">
                  <c:v>5</c:v>
                </c:pt>
                <c:pt idx="420">
                  <c:v>6</c:v>
                </c:pt>
                <c:pt idx="421">
                  <c:v>7</c:v>
                </c:pt>
                <c:pt idx="422">
                  <c:v>5</c:v>
                </c:pt>
                <c:pt idx="423">
                  <c:v>6</c:v>
                </c:pt>
                <c:pt idx="424">
                  <c:v>4</c:v>
                </c:pt>
                <c:pt idx="425">
                  <c:v>7</c:v>
                </c:pt>
                <c:pt idx="426">
                  <c:v>4</c:v>
                </c:pt>
                <c:pt idx="427">
                  <c:v>7</c:v>
                </c:pt>
                <c:pt idx="428">
                  <c:v>7</c:v>
                </c:pt>
                <c:pt idx="429">
                  <c:v>5</c:v>
                </c:pt>
                <c:pt idx="430">
                  <c:v>8</c:v>
                </c:pt>
                <c:pt idx="431">
                  <c:v>5</c:v>
                </c:pt>
                <c:pt idx="432">
                  <c:v>7</c:v>
                </c:pt>
                <c:pt idx="433">
                  <c:v>6</c:v>
                </c:pt>
                <c:pt idx="434">
                  <c:v>6</c:v>
                </c:pt>
                <c:pt idx="435">
                  <c:v>5</c:v>
                </c:pt>
                <c:pt idx="436">
                  <c:v>5</c:v>
                </c:pt>
                <c:pt idx="437">
                  <c:v>5</c:v>
                </c:pt>
                <c:pt idx="438">
                  <c:v>4</c:v>
                </c:pt>
                <c:pt idx="439">
                  <c:v>5</c:v>
                </c:pt>
                <c:pt idx="440">
                  <c:v>6</c:v>
                </c:pt>
                <c:pt idx="441">
                  <c:v>6</c:v>
                </c:pt>
                <c:pt idx="442">
                  <c:v>5</c:v>
                </c:pt>
                <c:pt idx="443">
                  <c:v>4</c:v>
                </c:pt>
                <c:pt idx="444">
                  <c:v>8</c:v>
                </c:pt>
                <c:pt idx="445">
                  <c:v>5</c:v>
                </c:pt>
                <c:pt idx="446">
                  <c:v>4</c:v>
                </c:pt>
                <c:pt idx="447">
                  <c:v>5</c:v>
                </c:pt>
                <c:pt idx="448">
                  <c:v>8</c:v>
                </c:pt>
                <c:pt idx="449">
                  <c:v>5</c:v>
                </c:pt>
                <c:pt idx="450">
                  <c:v>6</c:v>
                </c:pt>
                <c:pt idx="451">
                  <c:v>5</c:v>
                </c:pt>
                <c:pt idx="452">
                  <c:v>3</c:v>
                </c:pt>
                <c:pt idx="453">
                  <c:v>6</c:v>
                </c:pt>
                <c:pt idx="454">
                  <c:v>4</c:v>
                </c:pt>
                <c:pt idx="455">
                  <c:v>6</c:v>
                </c:pt>
                <c:pt idx="456">
                  <c:v>6</c:v>
                </c:pt>
                <c:pt idx="457">
                  <c:v>4</c:v>
                </c:pt>
                <c:pt idx="458">
                  <c:v>7</c:v>
                </c:pt>
                <c:pt idx="459">
                  <c:v>6</c:v>
                </c:pt>
                <c:pt idx="460">
                  <c:v>10</c:v>
                </c:pt>
                <c:pt idx="461">
                  <c:v>5</c:v>
                </c:pt>
                <c:pt idx="462">
                  <c:v>5</c:v>
                </c:pt>
                <c:pt idx="463">
                  <c:v>5</c:v>
                </c:pt>
                <c:pt idx="464">
                  <c:v>3</c:v>
                </c:pt>
                <c:pt idx="465">
                  <c:v>5</c:v>
                </c:pt>
                <c:pt idx="466">
                  <c:v>5</c:v>
                </c:pt>
                <c:pt idx="467">
                  <c:v>6</c:v>
                </c:pt>
                <c:pt idx="468">
                  <c:v>5</c:v>
                </c:pt>
                <c:pt idx="469">
                  <c:v>7</c:v>
                </c:pt>
                <c:pt idx="470">
                  <c:v>5</c:v>
                </c:pt>
                <c:pt idx="471">
                  <c:v>5</c:v>
                </c:pt>
                <c:pt idx="472">
                  <c:v>6</c:v>
                </c:pt>
                <c:pt idx="473">
                  <c:v>8</c:v>
                </c:pt>
                <c:pt idx="474">
                  <c:v>6</c:v>
                </c:pt>
                <c:pt idx="475">
                  <c:v>5</c:v>
                </c:pt>
                <c:pt idx="476">
                  <c:v>7</c:v>
                </c:pt>
                <c:pt idx="477">
                  <c:v>4</c:v>
                </c:pt>
                <c:pt idx="478">
                  <c:v>8</c:v>
                </c:pt>
                <c:pt idx="479">
                  <c:v>9</c:v>
                </c:pt>
                <c:pt idx="480">
                  <c:v>5</c:v>
                </c:pt>
                <c:pt idx="481">
                  <c:v>4</c:v>
                </c:pt>
                <c:pt idx="482">
                  <c:v>9</c:v>
                </c:pt>
                <c:pt idx="483">
                  <c:v>8</c:v>
                </c:pt>
                <c:pt idx="484">
                  <c:v>6</c:v>
                </c:pt>
                <c:pt idx="485">
                  <c:v>7</c:v>
                </c:pt>
                <c:pt idx="486">
                  <c:v>7</c:v>
                </c:pt>
                <c:pt idx="487">
                  <c:v>3</c:v>
                </c:pt>
                <c:pt idx="488">
                  <c:v>7</c:v>
                </c:pt>
                <c:pt idx="489">
                  <c:v>5</c:v>
                </c:pt>
                <c:pt idx="490">
                  <c:v>5</c:v>
                </c:pt>
                <c:pt idx="491">
                  <c:v>3</c:v>
                </c:pt>
                <c:pt idx="492">
                  <c:v>4</c:v>
                </c:pt>
                <c:pt idx="493">
                  <c:v>5</c:v>
                </c:pt>
                <c:pt idx="494">
                  <c:v>6</c:v>
                </c:pt>
                <c:pt idx="495">
                  <c:v>4</c:v>
                </c:pt>
                <c:pt idx="496">
                  <c:v>4</c:v>
                </c:pt>
                <c:pt idx="497">
                  <c:v>5</c:v>
                </c:pt>
                <c:pt idx="498">
                  <c:v>6</c:v>
                </c:pt>
                <c:pt idx="499">
                  <c:v>7</c:v>
                </c:pt>
              </c:numCache>
            </c:numRef>
          </c:yVal>
          <c:smooth val="0"/>
          <c:extLst>
            <c:ext xmlns:c16="http://schemas.microsoft.com/office/drawing/2014/chart" uri="{C3380CC4-5D6E-409C-BE32-E72D297353CC}">
              <c16:uniqueId val="{00000001-E836-422A-9837-F70278ABB3EE}"/>
            </c:ext>
          </c:extLst>
        </c:ser>
        <c:ser>
          <c:idx val="1"/>
          <c:order val="1"/>
          <c:tx>
            <c:v>Predicted Y Lead Time (days)</c:v>
          </c:tx>
          <c:spPr>
            <a:ln w="19050">
              <a:noFill/>
            </a:ln>
          </c:spPr>
          <c:xVal>
            <c:numRef>
              <c:f>Regression!$D$4:$D$503</c:f>
              <c:numCache>
                <c:formatCode>General</c:formatCode>
                <c:ptCount val="500"/>
                <c:pt idx="0">
                  <c:v>0</c:v>
                </c:pt>
                <c:pt idx="1">
                  <c:v>0</c:v>
                </c:pt>
                <c:pt idx="2">
                  <c:v>1</c:v>
                </c:pt>
                <c:pt idx="3">
                  <c:v>1</c:v>
                </c:pt>
                <c:pt idx="4">
                  <c:v>1</c:v>
                </c:pt>
                <c:pt idx="5">
                  <c:v>0</c:v>
                </c:pt>
                <c:pt idx="6">
                  <c:v>0</c:v>
                </c:pt>
                <c:pt idx="7">
                  <c:v>0</c:v>
                </c:pt>
                <c:pt idx="8">
                  <c:v>0</c:v>
                </c:pt>
                <c:pt idx="9">
                  <c:v>0</c:v>
                </c:pt>
                <c:pt idx="10">
                  <c:v>0</c:v>
                </c:pt>
                <c:pt idx="11">
                  <c:v>0</c:v>
                </c:pt>
                <c:pt idx="12">
                  <c:v>0</c:v>
                </c:pt>
                <c:pt idx="13">
                  <c:v>2</c:v>
                </c:pt>
                <c:pt idx="14">
                  <c:v>1</c:v>
                </c:pt>
                <c:pt idx="15">
                  <c:v>1</c:v>
                </c:pt>
                <c:pt idx="16">
                  <c:v>0</c:v>
                </c:pt>
                <c:pt idx="17">
                  <c:v>0</c:v>
                </c:pt>
                <c:pt idx="18">
                  <c:v>0</c:v>
                </c:pt>
                <c:pt idx="19">
                  <c:v>1</c:v>
                </c:pt>
                <c:pt idx="20">
                  <c:v>0</c:v>
                </c:pt>
                <c:pt idx="21">
                  <c:v>0</c:v>
                </c:pt>
                <c:pt idx="22">
                  <c:v>0</c:v>
                </c:pt>
                <c:pt idx="23">
                  <c:v>0</c:v>
                </c:pt>
                <c:pt idx="24">
                  <c:v>1</c:v>
                </c:pt>
                <c:pt idx="25">
                  <c:v>0</c:v>
                </c:pt>
                <c:pt idx="26">
                  <c:v>0</c:v>
                </c:pt>
                <c:pt idx="27">
                  <c:v>0</c:v>
                </c:pt>
                <c:pt idx="28">
                  <c:v>0</c:v>
                </c:pt>
                <c:pt idx="29">
                  <c:v>0</c:v>
                </c:pt>
                <c:pt idx="30">
                  <c:v>0</c:v>
                </c:pt>
                <c:pt idx="31">
                  <c:v>0</c:v>
                </c:pt>
                <c:pt idx="32">
                  <c:v>0</c:v>
                </c:pt>
                <c:pt idx="33">
                  <c:v>0</c:v>
                </c:pt>
                <c:pt idx="34">
                  <c:v>0</c:v>
                </c:pt>
                <c:pt idx="35">
                  <c:v>1</c:v>
                </c:pt>
                <c:pt idx="36">
                  <c:v>1</c:v>
                </c:pt>
                <c:pt idx="37">
                  <c:v>0</c:v>
                </c:pt>
                <c:pt idx="38">
                  <c:v>2</c:v>
                </c:pt>
                <c:pt idx="39">
                  <c:v>0</c:v>
                </c:pt>
                <c:pt idx="40">
                  <c:v>2</c:v>
                </c:pt>
                <c:pt idx="41">
                  <c:v>1</c:v>
                </c:pt>
                <c:pt idx="42">
                  <c:v>1</c:v>
                </c:pt>
                <c:pt idx="43">
                  <c:v>1</c:v>
                </c:pt>
                <c:pt idx="44">
                  <c:v>0</c:v>
                </c:pt>
                <c:pt idx="45">
                  <c:v>1</c:v>
                </c:pt>
                <c:pt idx="46">
                  <c:v>0</c:v>
                </c:pt>
                <c:pt idx="47">
                  <c:v>0</c:v>
                </c:pt>
                <c:pt idx="48">
                  <c:v>0</c:v>
                </c:pt>
                <c:pt idx="49">
                  <c:v>0</c:v>
                </c:pt>
                <c:pt idx="50">
                  <c:v>0</c:v>
                </c:pt>
                <c:pt idx="51">
                  <c:v>2</c:v>
                </c:pt>
                <c:pt idx="52">
                  <c:v>1</c:v>
                </c:pt>
                <c:pt idx="53">
                  <c:v>1</c:v>
                </c:pt>
                <c:pt idx="54">
                  <c:v>0</c:v>
                </c:pt>
                <c:pt idx="55">
                  <c:v>0</c:v>
                </c:pt>
                <c:pt idx="56">
                  <c:v>1</c:v>
                </c:pt>
                <c:pt idx="57">
                  <c:v>2</c:v>
                </c:pt>
                <c:pt idx="58">
                  <c:v>1</c:v>
                </c:pt>
                <c:pt idx="59">
                  <c:v>0</c:v>
                </c:pt>
                <c:pt idx="60">
                  <c:v>1</c:v>
                </c:pt>
                <c:pt idx="61">
                  <c:v>0</c:v>
                </c:pt>
                <c:pt idx="62">
                  <c:v>0</c:v>
                </c:pt>
                <c:pt idx="63">
                  <c:v>1</c:v>
                </c:pt>
                <c:pt idx="64">
                  <c:v>0</c:v>
                </c:pt>
                <c:pt idx="65">
                  <c:v>0</c:v>
                </c:pt>
                <c:pt idx="66">
                  <c:v>1</c:v>
                </c:pt>
                <c:pt idx="67">
                  <c:v>0</c:v>
                </c:pt>
                <c:pt idx="68">
                  <c:v>0</c:v>
                </c:pt>
                <c:pt idx="69">
                  <c:v>0</c:v>
                </c:pt>
                <c:pt idx="70">
                  <c:v>1</c:v>
                </c:pt>
                <c:pt idx="71">
                  <c:v>0</c:v>
                </c:pt>
                <c:pt idx="72">
                  <c:v>0</c:v>
                </c:pt>
                <c:pt idx="73">
                  <c:v>0</c:v>
                </c:pt>
                <c:pt idx="74">
                  <c:v>0</c:v>
                </c:pt>
                <c:pt idx="75">
                  <c:v>1</c:v>
                </c:pt>
                <c:pt idx="76">
                  <c:v>1</c:v>
                </c:pt>
                <c:pt idx="77">
                  <c:v>1</c:v>
                </c:pt>
                <c:pt idx="78">
                  <c:v>0</c:v>
                </c:pt>
                <c:pt idx="79">
                  <c:v>0</c:v>
                </c:pt>
                <c:pt idx="80">
                  <c:v>0</c:v>
                </c:pt>
                <c:pt idx="81">
                  <c:v>0</c:v>
                </c:pt>
                <c:pt idx="82">
                  <c:v>1</c:v>
                </c:pt>
                <c:pt idx="83">
                  <c:v>1</c:v>
                </c:pt>
                <c:pt idx="84">
                  <c:v>1</c:v>
                </c:pt>
                <c:pt idx="85">
                  <c:v>1</c:v>
                </c:pt>
                <c:pt idx="86">
                  <c:v>1</c:v>
                </c:pt>
                <c:pt idx="87">
                  <c:v>1</c:v>
                </c:pt>
                <c:pt idx="88">
                  <c:v>0</c:v>
                </c:pt>
                <c:pt idx="89">
                  <c:v>1</c:v>
                </c:pt>
                <c:pt idx="90">
                  <c:v>1</c:v>
                </c:pt>
                <c:pt idx="91">
                  <c:v>0</c:v>
                </c:pt>
                <c:pt idx="92">
                  <c:v>0</c:v>
                </c:pt>
                <c:pt idx="93">
                  <c:v>0</c:v>
                </c:pt>
                <c:pt idx="94">
                  <c:v>1</c:v>
                </c:pt>
                <c:pt idx="95">
                  <c:v>1</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1</c:v>
                </c:pt>
                <c:pt idx="110">
                  <c:v>0</c:v>
                </c:pt>
                <c:pt idx="111">
                  <c:v>1</c:v>
                </c:pt>
                <c:pt idx="112">
                  <c:v>0</c:v>
                </c:pt>
                <c:pt idx="113">
                  <c:v>0</c:v>
                </c:pt>
                <c:pt idx="114">
                  <c:v>1</c:v>
                </c:pt>
                <c:pt idx="115">
                  <c:v>0</c:v>
                </c:pt>
                <c:pt idx="116">
                  <c:v>0</c:v>
                </c:pt>
                <c:pt idx="117">
                  <c:v>0</c:v>
                </c:pt>
                <c:pt idx="118">
                  <c:v>1</c:v>
                </c:pt>
                <c:pt idx="119">
                  <c:v>1</c:v>
                </c:pt>
                <c:pt idx="120">
                  <c:v>1</c:v>
                </c:pt>
                <c:pt idx="121">
                  <c:v>2</c:v>
                </c:pt>
                <c:pt idx="122">
                  <c:v>0</c:v>
                </c:pt>
                <c:pt idx="123">
                  <c:v>0</c:v>
                </c:pt>
                <c:pt idx="124">
                  <c:v>0</c:v>
                </c:pt>
                <c:pt idx="125">
                  <c:v>0</c:v>
                </c:pt>
                <c:pt idx="126">
                  <c:v>0</c:v>
                </c:pt>
                <c:pt idx="127">
                  <c:v>0</c:v>
                </c:pt>
                <c:pt idx="128">
                  <c:v>0</c:v>
                </c:pt>
                <c:pt idx="129">
                  <c:v>0</c:v>
                </c:pt>
                <c:pt idx="130">
                  <c:v>1</c:v>
                </c:pt>
                <c:pt idx="131">
                  <c:v>1</c:v>
                </c:pt>
                <c:pt idx="132">
                  <c:v>1</c:v>
                </c:pt>
                <c:pt idx="133">
                  <c:v>0</c:v>
                </c:pt>
                <c:pt idx="134">
                  <c:v>0</c:v>
                </c:pt>
                <c:pt idx="135">
                  <c:v>0</c:v>
                </c:pt>
                <c:pt idx="136">
                  <c:v>0</c:v>
                </c:pt>
                <c:pt idx="137">
                  <c:v>0</c:v>
                </c:pt>
                <c:pt idx="138">
                  <c:v>0</c:v>
                </c:pt>
                <c:pt idx="139">
                  <c:v>1</c:v>
                </c:pt>
                <c:pt idx="140">
                  <c:v>1</c:v>
                </c:pt>
                <c:pt idx="141">
                  <c:v>1</c:v>
                </c:pt>
                <c:pt idx="142">
                  <c:v>0</c:v>
                </c:pt>
                <c:pt idx="143">
                  <c:v>0</c:v>
                </c:pt>
                <c:pt idx="144">
                  <c:v>0</c:v>
                </c:pt>
                <c:pt idx="145">
                  <c:v>1</c:v>
                </c:pt>
                <c:pt idx="146">
                  <c:v>1</c:v>
                </c:pt>
                <c:pt idx="147">
                  <c:v>0</c:v>
                </c:pt>
                <c:pt idx="148">
                  <c:v>0</c:v>
                </c:pt>
                <c:pt idx="149">
                  <c:v>0</c:v>
                </c:pt>
                <c:pt idx="150">
                  <c:v>0</c:v>
                </c:pt>
                <c:pt idx="151">
                  <c:v>0</c:v>
                </c:pt>
                <c:pt idx="152">
                  <c:v>0</c:v>
                </c:pt>
                <c:pt idx="153">
                  <c:v>2</c:v>
                </c:pt>
                <c:pt idx="154">
                  <c:v>0</c:v>
                </c:pt>
                <c:pt idx="155">
                  <c:v>0</c:v>
                </c:pt>
                <c:pt idx="156">
                  <c:v>2</c:v>
                </c:pt>
                <c:pt idx="157">
                  <c:v>0</c:v>
                </c:pt>
                <c:pt idx="158">
                  <c:v>0</c:v>
                </c:pt>
                <c:pt idx="159">
                  <c:v>0</c:v>
                </c:pt>
                <c:pt idx="160">
                  <c:v>0</c:v>
                </c:pt>
                <c:pt idx="161">
                  <c:v>0</c:v>
                </c:pt>
                <c:pt idx="162">
                  <c:v>0</c:v>
                </c:pt>
                <c:pt idx="163">
                  <c:v>0</c:v>
                </c:pt>
                <c:pt idx="164">
                  <c:v>0</c:v>
                </c:pt>
                <c:pt idx="165">
                  <c:v>2</c:v>
                </c:pt>
                <c:pt idx="166">
                  <c:v>0</c:v>
                </c:pt>
                <c:pt idx="167">
                  <c:v>0</c:v>
                </c:pt>
                <c:pt idx="168">
                  <c:v>0</c:v>
                </c:pt>
                <c:pt idx="169">
                  <c:v>2</c:v>
                </c:pt>
                <c:pt idx="170">
                  <c:v>0</c:v>
                </c:pt>
                <c:pt idx="171">
                  <c:v>0</c:v>
                </c:pt>
                <c:pt idx="172">
                  <c:v>2</c:v>
                </c:pt>
                <c:pt idx="173">
                  <c:v>1</c:v>
                </c:pt>
                <c:pt idx="174">
                  <c:v>1</c:v>
                </c:pt>
                <c:pt idx="175">
                  <c:v>2</c:v>
                </c:pt>
                <c:pt idx="176">
                  <c:v>0</c:v>
                </c:pt>
                <c:pt idx="177">
                  <c:v>0</c:v>
                </c:pt>
                <c:pt idx="178">
                  <c:v>1</c:v>
                </c:pt>
                <c:pt idx="179">
                  <c:v>0</c:v>
                </c:pt>
                <c:pt idx="180">
                  <c:v>0</c:v>
                </c:pt>
                <c:pt idx="181">
                  <c:v>0</c:v>
                </c:pt>
                <c:pt idx="182">
                  <c:v>1</c:v>
                </c:pt>
                <c:pt idx="183">
                  <c:v>0</c:v>
                </c:pt>
                <c:pt idx="184">
                  <c:v>0</c:v>
                </c:pt>
                <c:pt idx="185">
                  <c:v>0</c:v>
                </c:pt>
                <c:pt idx="186">
                  <c:v>0</c:v>
                </c:pt>
                <c:pt idx="187">
                  <c:v>2</c:v>
                </c:pt>
                <c:pt idx="188">
                  <c:v>2</c:v>
                </c:pt>
                <c:pt idx="189">
                  <c:v>0</c:v>
                </c:pt>
                <c:pt idx="190">
                  <c:v>0</c:v>
                </c:pt>
                <c:pt idx="191">
                  <c:v>1</c:v>
                </c:pt>
                <c:pt idx="192">
                  <c:v>0</c:v>
                </c:pt>
                <c:pt idx="193">
                  <c:v>0</c:v>
                </c:pt>
                <c:pt idx="194">
                  <c:v>1</c:v>
                </c:pt>
                <c:pt idx="195">
                  <c:v>1</c:v>
                </c:pt>
                <c:pt idx="196">
                  <c:v>0</c:v>
                </c:pt>
                <c:pt idx="197">
                  <c:v>2</c:v>
                </c:pt>
                <c:pt idx="198">
                  <c:v>0</c:v>
                </c:pt>
                <c:pt idx="199">
                  <c:v>2</c:v>
                </c:pt>
                <c:pt idx="200">
                  <c:v>0</c:v>
                </c:pt>
                <c:pt idx="201">
                  <c:v>0</c:v>
                </c:pt>
                <c:pt idx="202">
                  <c:v>0</c:v>
                </c:pt>
                <c:pt idx="203">
                  <c:v>1</c:v>
                </c:pt>
                <c:pt idx="204">
                  <c:v>1</c:v>
                </c:pt>
                <c:pt idx="205">
                  <c:v>0</c:v>
                </c:pt>
                <c:pt idx="206">
                  <c:v>0</c:v>
                </c:pt>
                <c:pt idx="207">
                  <c:v>1</c:v>
                </c:pt>
                <c:pt idx="208">
                  <c:v>0</c:v>
                </c:pt>
                <c:pt idx="209">
                  <c:v>0</c:v>
                </c:pt>
                <c:pt idx="210">
                  <c:v>0</c:v>
                </c:pt>
                <c:pt idx="211">
                  <c:v>1</c:v>
                </c:pt>
                <c:pt idx="212">
                  <c:v>0</c:v>
                </c:pt>
                <c:pt idx="213">
                  <c:v>0</c:v>
                </c:pt>
                <c:pt idx="214">
                  <c:v>0</c:v>
                </c:pt>
                <c:pt idx="215">
                  <c:v>0</c:v>
                </c:pt>
                <c:pt idx="216">
                  <c:v>0</c:v>
                </c:pt>
                <c:pt idx="217">
                  <c:v>0</c:v>
                </c:pt>
                <c:pt idx="218">
                  <c:v>1</c:v>
                </c:pt>
                <c:pt idx="219">
                  <c:v>0</c:v>
                </c:pt>
                <c:pt idx="220">
                  <c:v>0</c:v>
                </c:pt>
                <c:pt idx="221">
                  <c:v>2</c:v>
                </c:pt>
                <c:pt idx="222">
                  <c:v>1</c:v>
                </c:pt>
                <c:pt idx="223">
                  <c:v>0</c:v>
                </c:pt>
                <c:pt idx="224">
                  <c:v>0</c:v>
                </c:pt>
                <c:pt idx="225">
                  <c:v>1</c:v>
                </c:pt>
                <c:pt idx="226">
                  <c:v>0</c:v>
                </c:pt>
                <c:pt idx="227">
                  <c:v>0</c:v>
                </c:pt>
                <c:pt idx="228">
                  <c:v>1</c:v>
                </c:pt>
                <c:pt idx="229">
                  <c:v>1</c:v>
                </c:pt>
                <c:pt idx="230">
                  <c:v>0</c:v>
                </c:pt>
                <c:pt idx="231">
                  <c:v>1</c:v>
                </c:pt>
                <c:pt idx="232">
                  <c:v>0</c:v>
                </c:pt>
                <c:pt idx="233">
                  <c:v>0</c:v>
                </c:pt>
                <c:pt idx="234">
                  <c:v>2</c:v>
                </c:pt>
                <c:pt idx="235">
                  <c:v>0</c:v>
                </c:pt>
                <c:pt idx="236">
                  <c:v>0</c:v>
                </c:pt>
                <c:pt idx="237">
                  <c:v>0</c:v>
                </c:pt>
                <c:pt idx="238">
                  <c:v>0</c:v>
                </c:pt>
                <c:pt idx="239">
                  <c:v>1</c:v>
                </c:pt>
                <c:pt idx="240">
                  <c:v>0</c:v>
                </c:pt>
                <c:pt idx="241">
                  <c:v>0</c:v>
                </c:pt>
                <c:pt idx="242">
                  <c:v>0</c:v>
                </c:pt>
                <c:pt idx="243">
                  <c:v>0</c:v>
                </c:pt>
                <c:pt idx="244">
                  <c:v>2</c:v>
                </c:pt>
                <c:pt idx="245">
                  <c:v>0</c:v>
                </c:pt>
                <c:pt idx="246">
                  <c:v>0</c:v>
                </c:pt>
                <c:pt idx="247">
                  <c:v>0</c:v>
                </c:pt>
                <c:pt idx="248">
                  <c:v>1</c:v>
                </c:pt>
                <c:pt idx="249">
                  <c:v>1</c:v>
                </c:pt>
                <c:pt idx="250">
                  <c:v>1</c:v>
                </c:pt>
                <c:pt idx="251">
                  <c:v>0</c:v>
                </c:pt>
                <c:pt idx="252">
                  <c:v>0</c:v>
                </c:pt>
                <c:pt idx="253">
                  <c:v>1</c:v>
                </c:pt>
                <c:pt idx="254">
                  <c:v>1</c:v>
                </c:pt>
                <c:pt idx="255">
                  <c:v>0</c:v>
                </c:pt>
                <c:pt idx="256">
                  <c:v>0</c:v>
                </c:pt>
                <c:pt idx="257">
                  <c:v>0</c:v>
                </c:pt>
                <c:pt idx="258">
                  <c:v>0</c:v>
                </c:pt>
                <c:pt idx="259">
                  <c:v>1</c:v>
                </c:pt>
                <c:pt idx="260">
                  <c:v>1</c:v>
                </c:pt>
                <c:pt idx="261">
                  <c:v>1</c:v>
                </c:pt>
                <c:pt idx="262">
                  <c:v>2</c:v>
                </c:pt>
                <c:pt idx="263">
                  <c:v>0</c:v>
                </c:pt>
                <c:pt idx="264">
                  <c:v>1</c:v>
                </c:pt>
                <c:pt idx="265">
                  <c:v>2</c:v>
                </c:pt>
                <c:pt idx="266">
                  <c:v>0</c:v>
                </c:pt>
                <c:pt idx="267">
                  <c:v>2</c:v>
                </c:pt>
                <c:pt idx="268">
                  <c:v>0</c:v>
                </c:pt>
                <c:pt idx="269">
                  <c:v>0</c:v>
                </c:pt>
                <c:pt idx="270">
                  <c:v>0</c:v>
                </c:pt>
                <c:pt idx="271">
                  <c:v>2</c:v>
                </c:pt>
                <c:pt idx="272">
                  <c:v>1</c:v>
                </c:pt>
                <c:pt idx="273">
                  <c:v>0</c:v>
                </c:pt>
                <c:pt idx="274">
                  <c:v>0</c:v>
                </c:pt>
                <c:pt idx="275">
                  <c:v>0</c:v>
                </c:pt>
                <c:pt idx="276">
                  <c:v>0</c:v>
                </c:pt>
                <c:pt idx="277">
                  <c:v>0</c:v>
                </c:pt>
                <c:pt idx="278">
                  <c:v>1</c:v>
                </c:pt>
                <c:pt idx="279">
                  <c:v>0</c:v>
                </c:pt>
                <c:pt idx="280">
                  <c:v>0</c:v>
                </c:pt>
                <c:pt idx="281">
                  <c:v>0</c:v>
                </c:pt>
                <c:pt idx="282">
                  <c:v>1</c:v>
                </c:pt>
                <c:pt idx="283">
                  <c:v>0</c:v>
                </c:pt>
                <c:pt idx="284">
                  <c:v>1</c:v>
                </c:pt>
                <c:pt idx="285">
                  <c:v>1</c:v>
                </c:pt>
                <c:pt idx="286">
                  <c:v>0</c:v>
                </c:pt>
                <c:pt idx="287">
                  <c:v>1</c:v>
                </c:pt>
                <c:pt idx="288">
                  <c:v>0</c:v>
                </c:pt>
                <c:pt idx="289">
                  <c:v>1</c:v>
                </c:pt>
                <c:pt idx="290">
                  <c:v>0</c:v>
                </c:pt>
                <c:pt idx="291">
                  <c:v>0</c:v>
                </c:pt>
                <c:pt idx="292">
                  <c:v>0</c:v>
                </c:pt>
                <c:pt idx="293">
                  <c:v>0</c:v>
                </c:pt>
                <c:pt idx="294">
                  <c:v>0</c:v>
                </c:pt>
                <c:pt idx="295">
                  <c:v>1</c:v>
                </c:pt>
                <c:pt idx="296">
                  <c:v>0</c:v>
                </c:pt>
                <c:pt idx="297">
                  <c:v>0</c:v>
                </c:pt>
                <c:pt idx="298">
                  <c:v>1</c:v>
                </c:pt>
                <c:pt idx="299">
                  <c:v>0</c:v>
                </c:pt>
                <c:pt idx="300">
                  <c:v>1</c:v>
                </c:pt>
                <c:pt idx="301">
                  <c:v>0</c:v>
                </c:pt>
                <c:pt idx="302">
                  <c:v>0</c:v>
                </c:pt>
                <c:pt idx="303">
                  <c:v>0</c:v>
                </c:pt>
                <c:pt idx="304">
                  <c:v>0</c:v>
                </c:pt>
                <c:pt idx="305">
                  <c:v>0</c:v>
                </c:pt>
                <c:pt idx="306">
                  <c:v>0</c:v>
                </c:pt>
                <c:pt idx="307">
                  <c:v>0</c:v>
                </c:pt>
                <c:pt idx="308">
                  <c:v>1</c:v>
                </c:pt>
                <c:pt idx="309">
                  <c:v>2</c:v>
                </c:pt>
                <c:pt idx="310">
                  <c:v>0</c:v>
                </c:pt>
                <c:pt idx="311">
                  <c:v>2</c:v>
                </c:pt>
                <c:pt idx="312">
                  <c:v>0</c:v>
                </c:pt>
                <c:pt idx="313">
                  <c:v>0</c:v>
                </c:pt>
                <c:pt idx="314">
                  <c:v>1</c:v>
                </c:pt>
                <c:pt idx="315">
                  <c:v>1</c:v>
                </c:pt>
                <c:pt idx="316">
                  <c:v>1</c:v>
                </c:pt>
                <c:pt idx="317">
                  <c:v>1</c:v>
                </c:pt>
                <c:pt idx="318">
                  <c:v>2</c:v>
                </c:pt>
                <c:pt idx="319">
                  <c:v>0</c:v>
                </c:pt>
                <c:pt idx="320">
                  <c:v>0</c:v>
                </c:pt>
                <c:pt idx="321">
                  <c:v>0</c:v>
                </c:pt>
                <c:pt idx="322">
                  <c:v>1</c:v>
                </c:pt>
                <c:pt idx="323">
                  <c:v>0</c:v>
                </c:pt>
                <c:pt idx="324">
                  <c:v>1</c:v>
                </c:pt>
                <c:pt idx="325">
                  <c:v>1</c:v>
                </c:pt>
                <c:pt idx="326">
                  <c:v>0</c:v>
                </c:pt>
                <c:pt idx="327">
                  <c:v>0</c:v>
                </c:pt>
                <c:pt idx="328">
                  <c:v>0</c:v>
                </c:pt>
                <c:pt idx="329">
                  <c:v>0</c:v>
                </c:pt>
                <c:pt idx="330">
                  <c:v>0</c:v>
                </c:pt>
                <c:pt idx="331">
                  <c:v>0</c:v>
                </c:pt>
                <c:pt idx="332">
                  <c:v>0</c:v>
                </c:pt>
                <c:pt idx="333">
                  <c:v>0</c:v>
                </c:pt>
                <c:pt idx="334">
                  <c:v>0</c:v>
                </c:pt>
                <c:pt idx="335">
                  <c:v>1</c:v>
                </c:pt>
                <c:pt idx="336">
                  <c:v>0</c:v>
                </c:pt>
                <c:pt idx="337">
                  <c:v>2</c:v>
                </c:pt>
                <c:pt idx="338">
                  <c:v>0</c:v>
                </c:pt>
                <c:pt idx="339">
                  <c:v>0</c:v>
                </c:pt>
                <c:pt idx="340">
                  <c:v>0</c:v>
                </c:pt>
                <c:pt idx="341">
                  <c:v>0</c:v>
                </c:pt>
                <c:pt idx="342">
                  <c:v>1</c:v>
                </c:pt>
                <c:pt idx="343">
                  <c:v>0</c:v>
                </c:pt>
                <c:pt idx="344">
                  <c:v>1</c:v>
                </c:pt>
                <c:pt idx="345">
                  <c:v>0</c:v>
                </c:pt>
                <c:pt idx="346">
                  <c:v>2</c:v>
                </c:pt>
                <c:pt idx="347">
                  <c:v>0</c:v>
                </c:pt>
                <c:pt idx="348">
                  <c:v>0</c:v>
                </c:pt>
                <c:pt idx="349">
                  <c:v>0</c:v>
                </c:pt>
                <c:pt idx="350">
                  <c:v>1</c:v>
                </c:pt>
                <c:pt idx="351">
                  <c:v>0</c:v>
                </c:pt>
                <c:pt idx="352">
                  <c:v>0</c:v>
                </c:pt>
                <c:pt idx="353">
                  <c:v>0</c:v>
                </c:pt>
                <c:pt idx="354">
                  <c:v>0</c:v>
                </c:pt>
                <c:pt idx="355">
                  <c:v>0</c:v>
                </c:pt>
                <c:pt idx="356">
                  <c:v>0</c:v>
                </c:pt>
                <c:pt idx="357">
                  <c:v>1</c:v>
                </c:pt>
                <c:pt idx="358">
                  <c:v>0</c:v>
                </c:pt>
                <c:pt idx="359">
                  <c:v>0</c:v>
                </c:pt>
                <c:pt idx="360">
                  <c:v>0</c:v>
                </c:pt>
                <c:pt idx="361">
                  <c:v>0</c:v>
                </c:pt>
                <c:pt idx="362">
                  <c:v>1</c:v>
                </c:pt>
                <c:pt idx="363">
                  <c:v>0</c:v>
                </c:pt>
                <c:pt idx="364">
                  <c:v>0</c:v>
                </c:pt>
                <c:pt idx="365">
                  <c:v>0</c:v>
                </c:pt>
                <c:pt idx="366">
                  <c:v>2</c:v>
                </c:pt>
                <c:pt idx="367">
                  <c:v>0</c:v>
                </c:pt>
                <c:pt idx="368">
                  <c:v>0</c:v>
                </c:pt>
                <c:pt idx="369">
                  <c:v>1</c:v>
                </c:pt>
                <c:pt idx="370">
                  <c:v>2</c:v>
                </c:pt>
                <c:pt idx="371">
                  <c:v>2</c:v>
                </c:pt>
                <c:pt idx="372">
                  <c:v>0</c:v>
                </c:pt>
                <c:pt idx="373">
                  <c:v>2</c:v>
                </c:pt>
                <c:pt idx="374">
                  <c:v>1</c:v>
                </c:pt>
                <c:pt idx="375">
                  <c:v>2</c:v>
                </c:pt>
                <c:pt idx="376">
                  <c:v>0</c:v>
                </c:pt>
                <c:pt idx="377">
                  <c:v>1</c:v>
                </c:pt>
                <c:pt idx="378">
                  <c:v>0</c:v>
                </c:pt>
                <c:pt idx="379">
                  <c:v>0</c:v>
                </c:pt>
                <c:pt idx="380">
                  <c:v>1</c:v>
                </c:pt>
                <c:pt idx="381">
                  <c:v>1</c:v>
                </c:pt>
                <c:pt idx="382">
                  <c:v>0</c:v>
                </c:pt>
                <c:pt idx="383">
                  <c:v>0</c:v>
                </c:pt>
                <c:pt idx="384">
                  <c:v>0</c:v>
                </c:pt>
                <c:pt idx="385">
                  <c:v>2</c:v>
                </c:pt>
                <c:pt idx="386">
                  <c:v>0</c:v>
                </c:pt>
                <c:pt idx="387">
                  <c:v>1</c:v>
                </c:pt>
                <c:pt idx="388">
                  <c:v>2</c:v>
                </c:pt>
                <c:pt idx="389">
                  <c:v>1</c:v>
                </c:pt>
                <c:pt idx="390">
                  <c:v>2</c:v>
                </c:pt>
                <c:pt idx="391">
                  <c:v>0</c:v>
                </c:pt>
                <c:pt idx="392">
                  <c:v>0</c:v>
                </c:pt>
                <c:pt idx="393">
                  <c:v>2</c:v>
                </c:pt>
                <c:pt idx="394">
                  <c:v>0</c:v>
                </c:pt>
                <c:pt idx="395">
                  <c:v>1</c:v>
                </c:pt>
                <c:pt idx="396">
                  <c:v>0</c:v>
                </c:pt>
                <c:pt idx="397">
                  <c:v>1</c:v>
                </c:pt>
                <c:pt idx="398">
                  <c:v>1</c:v>
                </c:pt>
                <c:pt idx="399">
                  <c:v>2</c:v>
                </c:pt>
                <c:pt idx="400">
                  <c:v>0</c:v>
                </c:pt>
                <c:pt idx="401">
                  <c:v>1</c:v>
                </c:pt>
                <c:pt idx="402">
                  <c:v>0</c:v>
                </c:pt>
                <c:pt idx="403">
                  <c:v>2</c:v>
                </c:pt>
                <c:pt idx="404">
                  <c:v>0</c:v>
                </c:pt>
                <c:pt idx="405">
                  <c:v>1</c:v>
                </c:pt>
                <c:pt idx="406">
                  <c:v>1</c:v>
                </c:pt>
                <c:pt idx="407">
                  <c:v>1</c:v>
                </c:pt>
                <c:pt idx="408">
                  <c:v>1</c:v>
                </c:pt>
                <c:pt idx="409">
                  <c:v>0</c:v>
                </c:pt>
                <c:pt idx="410">
                  <c:v>0</c:v>
                </c:pt>
                <c:pt idx="411">
                  <c:v>0</c:v>
                </c:pt>
                <c:pt idx="412">
                  <c:v>0</c:v>
                </c:pt>
                <c:pt idx="413">
                  <c:v>0</c:v>
                </c:pt>
                <c:pt idx="414">
                  <c:v>0</c:v>
                </c:pt>
                <c:pt idx="415">
                  <c:v>1</c:v>
                </c:pt>
                <c:pt idx="416">
                  <c:v>1</c:v>
                </c:pt>
                <c:pt idx="417">
                  <c:v>0</c:v>
                </c:pt>
                <c:pt idx="418">
                  <c:v>0</c:v>
                </c:pt>
                <c:pt idx="419">
                  <c:v>0</c:v>
                </c:pt>
                <c:pt idx="420">
                  <c:v>1</c:v>
                </c:pt>
                <c:pt idx="421">
                  <c:v>2</c:v>
                </c:pt>
                <c:pt idx="422">
                  <c:v>0</c:v>
                </c:pt>
                <c:pt idx="423">
                  <c:v>1</c:v>
                </c:pt>
                <c:pt idx="424">
                  <c:v>0</c:v>
                </c:pt>
                <c:pt idx="425">
                  <c:v>1</c:v>
                </c:pt>
                <c:pt idx="426">
                  <c:v>0</c:v>
                </c:pt>
                <c:pt idx="427">
                  <c:v>2</c:v>
                </c:pt>
                <c:pt idx="428">
                  <c:v>2</c:v>
                </c:pt>
                <c:pt idx="429">
                  <c:v>0</c:v>
                </c:pt>
                <c:pt idx="430">
                  <c:v>0</c:v>
                </c:pt>
                <c:pt idx="431">
                  <c:v>0</c:v>
                </c:pt>
                <c:pt idx="432">
                  <c:v>1</c:v>
                </c:pt>
                <c:pt idx="433">
                  <c:v>1</c:v>
                </c:pt>
                <c:pt idx="434">
                  <c:v>1</c:v>
                </c:pt>
                <c:pt idx="435">
                  <c:v>0</c:v>
                </c:pt>
                <c:pt idx="436">
                  <c:v>0</c:v>
                </c:pt>
                <c:pt idx="437">
                  <c:v>0</c:v>
                </c:pt>
                <c:pt idx="438">
                  <c:v>0</c:v>
                </c:pt>
                <c:pt idx="439">
                  <c:v>0</c:v>
                </c:pt>
                <c:pt idx="440">
                  <c:v>0</c:v>
                </c:pt>
                <c:pt idx="441">
                  <c:v>2</c:v>
                </c:pt>
                <c:pt idx="442">
                  <c:v>1</c:v>
                </c:pt>
                <c:pt idx="443">
                  <c:v>0</c:v>
                </c:pt>
                <c:pt idx="444">
                  <c:v>0</c:v>
                </c:pt>
                <c:pt idx="445">
                  <c:v>1</c:v>
                </c:pt>
                <c:pt idx="446">
                  <c:v>0</c:v>
                </c:pt>
                <c:pt idx="447">
                  <c:v>1</c:v>
                </c:pt>
                <c:pt idx="448">
                  <c:v>0</c:v>
                </c:pt>
                <c:pt idx="449">
                  <c:v>0</c:v>
                </c:pt>
                <c:pt idx="450">
                  <c:v>1</c:v>
                </c:pt>
                <c:pt idx="451">
                  <c:v>0</c:v>
                </c:pt>
                <c:pt idx="452">
                  <c:v>0</c:v>
                </c:pt>
                <c:pt idx="453">
                  <c:v>1</c:v>
                </c:pt>
                <c:pt idx="454">
                  <c:v>0</c:v>
                </c:pt>
                <c:pt idx="455">
                  <c:v>2</c:v>
                </c:pt>
                <c:pt idx="456">
                  <c:v>1</c:v>
                </c:pt>
                <c:pt idx="457">
                  <c:v>0</c:v>
                </c:pt>
                <c:pt idx="458">
                  <c:v>0</c:v>
                </c:pt>
                <c:pt idx="459">
                  <c:v>2</c:v>
                </c:pt>
                <c:pt idx="460">
                  <c:v>0</c:v>
                </c:pt>
                <c:pt idx="461">
                  <c:v>0</c:v>
                </c:pt>
                <c:pt idx="462">
                  <c:v>0</c:v>
                </c:pt>
                <c:pt idx="463">
                  <c:v>0</c:v>
                </c:pt>
                <c:pt idx="464">
                  <c:v>0</c:v>
                </c:pt>
                <c:pt idx="465">
                  <c:v>0</c:v>
                </c:pt>
                <c:pt idx="466">
                  <c:v>0</c:v>
                </c:pt>
                <c:pt idx="467">
                  <c:v>1</c:v>
                </c:pt>
                <c:pt idx="468">
                  <c:v>0</c:v>
                </c:pt>
                <c:pt idx="469">
                  <c:v>0</c:v>
                </c:pt>
                <c:pt idx="470">
                  <c:v>0</c:v>
                </c:pt>
                <c:pt idx="471">
                  <c:v>0</c:v>
                </c:pt>
                <c:pt idx="472">
                  <c:v>2</c:v>
                </c:pt>
                <c:pt idx="473">
                  <c:v>0</c:v>
                </c:pt>
                <c:pt idx="474">
                  <c:v>1</c:v>
                </c:pt>
                <c:pt idx="475">
                  <c:v>0</c:v>
                </c:pt>
                <c:pt idx="476">
                  <c:v>1</c:v>
                </c:pt>
                <c:pt idx="477">
                  <c:v>0</c:v>
                </c:pt>
                <c:pt idx="478">
                  <c:v>0</c:v>
                </c:pt>
                <c:pt idx="479">
                  <c:v>0</c:v>
                </c:pt>
                <c:pt idx="480">
                  <c:v>1</c:v>
                </c:pt>
                <c:pt idx="481">
                  <c:v>0</c:v>
                </c:pt>
                <c:pt idx="482">
                  <c:v>0</c:v>
                </c:pt>
                <c:pt idx="483">
                  <c:v>0</c:v>
                </c:pt>
                <c:pt idx="484">
                  <c:v>1</c:v>
                </c:pt>
                <c:pt idx="485">
                  <c:v>1</c:v>
                </c:pt>
                <c:pt idx="486">
                  <c:v>1</c:v>
                </c:pt>
                <c:pt idx="487">
                  <c:v>0</c:v>
                </c:pt>
                <c:pt idx="488">
                  <c:v>1</c:v>
                </c:pt>
                <c:pt idx="489">
                  <c:v>1</c:v>
                </c:pt>
                <c:pt idx="490">
                  <c:v>0</c:v>
                </c:pt>
                <c:pt idx="491">
                  <c:v>0</c:v>
                </c:pt>
                <c:pt idx="492">
                  <c:v>0</c:v>
                </c:pt>
                <c:pt idx="493">
                  <c:v>1</c:v>
                </c:pt>
                <c:pt idx="494">
                  <c:v>2</c:v>
                </c:pt>
                <c:pt idx="495">
                  <c:v>0</c:v>
                </c:pt>
                <c:pt idx="496">
                  <c:v>0</c:v>
                </c:pt>
                <c:pt idx="497">
                  <c:v>1</c:v>
                </c:pt>
                <c:pt idx="498">
                  <c:v>1</c:v>
                </c:pt>
                <c:pt idx="499">
                  <c:v>1</c:v>
                </c:pt>
              </c:numCache>
            </c:numRef>
          </c:xVal>
          <c:yVal>
            <c:numRef>
              <c:f>Regression!$G$50:$G$549</c:f>
              <c:numCache>
                <c:formatCode>General</c:formatCode>
                <c:ptCount val="500"/>
                <c:pt idx="0">
                  <c:v>4.4430556159210219</c:v>
                </c:pt>
                <c:pt idx="1">
                  <c:v>7.7075245158564272</c:v>
                </c:pt>
                <c:pt idx="2">
                  <c:v>6.3650600895627543</c:v>
                </c:pt>
                <c:pt idx="3">
                  <c:v>5.2905139620239208</c:v>
                </c:pt>
                <c:pt idx="4">
                  <c:v>5.2920077614380263</c:v>
                </c:pt>
                <c:pt idx="5">
                  <c:v>5.5280583393585996</c:v>
                </c:pt>
                <c:pt idx="6">
                  <c:v>4.4659605402706504</c:v>
                </c:pt>
                <c:pt idx="7">
                  <c:v>4.4425576827829865</c:v>
                </c:pt>
                <c:pt idx="8">
                  <c:v>4.4500266798535177</c:v>
                </c:pt>
                <c:pt idx="9">
                  <c:v>4.4505246129915523</c:v>
                </c:pt>
                <c:pt idx="10">
                  <c:v>4.436084551988527</c:v>
                </c:pt>
                <c:pt idx="11">
                  <c:v>6.6135589959342127</c:v>
                </c:pt>
                <c:pt idx="12">
                  <c:v>5.5240748742543158</c:v>
                </c:pt>
                <c:pt idx="13">
                  <c:v>6.1240301802618271</c:v>
                </c:pt>
                <c:pt idx="14">
                  <c:v>6.375018752323462</c:v>
                </c:pt>
                <c:pt idx="15">
                  <c:v>6.3790022174277459</c:v>
                </c:pt>
                <c:pt idx="16">
                  <c:v>6.6275011237992025</c:v>
                </c:pt>
                <c:pt idx="17">
                  <c:v>7.7115079809607101</c:v>
                </c:pt>
                <c:pt idx="18">
                  <c:v>7.7085203821324981</c:v>
                </c:pt>
                <c:pt idx="19">
                  <c:v>6.3809939499798878</c:v>
                </c:pt>
                <c:pt idx="20">
                  <c:v>5.5454859991898378</c:v>
                </c:pt>
                <c:pt idx="21">
                  <c:v>5.5265645399444931</c:v>
                </c:pt>
                <c:pt idx="22">
                  <c:v>2.2800212329783629</c:v>
                </c:pt>
                <c:pt idx="23">
                  <c:v>6.6185383273145657</c:v>
                </c:pt>
                <c:pt idx="24">
                  <c:v>6.3655580227007897</c:v>
                </c:pt>
                <c:pt idx="25">
                  <c:v>4.442059749644951</c:v>
                </c:pt>
                <c:pt idx="26">
                  <c:v>2.2845026312206813</c:v>
                </c:pt>
                <c:pt idx="27">
                  <c:v>7.7035410507521433</c:v>
                </c:pt>
                <c:pt idx="28">
                  <c:v>6.6080817314158224</c:v>
                </c:pt>
                <c:pt idx="29">
                  <c:v>5.5380170021193074</c:v>
                </c:pt>
                <c:pt idx="30">
                  <c:v>7.6945782542675065</c:v>
                </c:pt>
                <c:pt idx="31">
                  <c:v>6.6419411848022296</c:v>
                </c:pt>
                <c:pt idx="32">
                  <c:v>4.4435535490590574</c:v>
                </c:pt>
                <c:pt idx="33">
                  <c:v>4.4330969531603142</c:v>
                </c:pt>
                <c:pt idx="34">
                  <c:v>6.6115672633820708</c:v>
                </c:pt>
                <c:pt idx="35">
                  <c:v>5.2910118951619562</c:v>
                </c:pt>
                <c:pt idx="36">
                  <c:v>6.4243141329889664</c:v>
                </c:pt>
                <c:pt idx="37">
                  <c:v>6.6190362604526012</c:v>
                </c:pt>
                <c:pt idx="38">
                  <c:v>5.0514757852751346</c:v>
                </c:pt>
                <c:pt idx="39">
                  <c:v>2.2795232998403274</c:v>
                </c:pt>
                <c:pt idx="40">
                  <c:v>6.1444454389212781</c:v>
                </c:pt>
                <c:pt idx="41">
                  <c:v>6.37103528721918</c:v>
                </c:pt>
                <c:pt idx="42">
                  <c:v>6.3670518221148962</c:v>
                </c:pt>
                <c:pt idx="43">
                  <c:v>5.2755759678828591</c:v>
                </c:pt>
                <c:pt idx="44">
                  <c:v>6.6065879320017169</c:v>
                </c:pt>
                <c:pt idx="45">
                  <c:v>6.3879650139123827</c:v>
                </c:pt>
                <c:pt idx="46">
                  <c:v>4.439072150816739</c:v>
                </c:pt>
                <c:pt idx="47">
                  <c:v>2.299440625361743</c:v>
                </c:pt>
                <c:pt idx="48">
                  <c:v>4.438076284540668</c:v>
                </c:pt>
                <c:pt idx="49">
                  <c:v>7.7050348501662498</c:v>
                </c:pt>
                <c:pt idx="50">
                  <c:v>2.2879881631869292</c:v>
                </c:pt>
                <c:pt idx="51">
                  <c:v>5.0514757852751346</c:v>
                </c:pt>
                <c:pt idx="52">
                  <c:v>6.3829856825320288</c:v>
                </c:pt>
                <c:pt idx="53">
                  <c:v>6.3650600895627543</c:v>
                </c:pt>
                <c:pt idx="54">
                  <c:v>6.6095755308299289</c:v>
                </c:pt>
                <c:pt idx="55">
                  <c:v>2.2725522359078321</c:v>
                </c:pt>
                <c:pt idx="56">
                  <c:v>6.3844794819461352</c:v>
                </c:pt>
                <c:pt idx="57">
                  <c:v>6.1329929767464639</c:v>
                </c:pt>
                <c:pt idx="58">
                  <c:v>6.376014618599533</c:v>
                </c:pt>
                <c:pt idx="59">
                  <c:v>2.2610997737330178</c:v>
                </c:pt>
                <c:pt idx="60">
                  <c:v>6.3715332203572155</c:v>
                </c:pt>
                <c:pt idx="61">
                  <c:v>5.5190955428739628</c:v>
                </c:pt>
                <c:pt idx="62">
                  <c:v>4.4764171361693936</c:v>
                </c:pt>
                <c:pt idx="63">
                  <c:v>6.3790022174277459</c:v>
                </c:pt>
                <c:pt idx="64">
                  <c:v>5.5410046009475202</c:v>
                </c:pt>
                <c:pt idx="65">
                  <c:v>4.4560018775099426</c:v>
                </c:pt>
                <c:pt idx="66">
                  <c:v>6.376014618599533</c:v>
                </c:pt>
                <c:pt idx="67">
                  <c:v>6.6255093912470615</c:v>
                </c:pt>
                <c:pt idx="68">
                  <c:v>5.5190955428739628</c:v>
                </c:pt>
                <c:pt idx="69">
                  <c:v>5.53552733642913</c:v>
                </c:pt>
                <c:pt idx="70">
                  <c:v>4.2134781687949099</c:v>
                </c:pt>
                <c:pt idx="71">
                  <c:v>6.6185383273145657</c:v>
                </c:pt>
                <c:pt idx="72">
                  <c:v>5.5275604062205641</c:v>
                </c:pt>
                <c:pt idx="73">
                  <c:v>6.6120651965201063</c:v>
                </c:pt>
                <c:pt idx="74">
                  <c:v>5.5285562724966351</c:v>
                </c:pt>
                <c:pt idx="75">
                  <c:v>5.2885222294717797</c:v>
                </c:pt>
                <c:pt idx="76">
                  <c:v>6.3804960168418523</c:v>
                </c:pt>
                <c:pt idx="77">
                  <c:v>5.3024643573367696</c:v>
                </c:pt>
                <c:pt idx="78">
                  <c:v>6.6299907894893799</c:v>
                </c:pt>
                <c:pt idx="79">
                  <c:v>4.4450473484731639</c:v>
                </c:pt>
                <c:pt idx="80">
                  <c:v>6.6374597865599103</c:v>
                </c:pt>
                <c:pt idx="81">
                  <c:v>2.2795232998403274</c:v>
                </c:pt>
                <c:pt idx="82">
                  <c:v>6.3725290866332855</c:v>
                </c:pt>
                <c:pt idx="83">
                  <c:v>6.372031153495251</c:v>
                </c:pt>
                <c:pt idx="84">
                  <c:v>4.2040174391722376</c:v>
                </c:pt>
                <c:pt idx="85">
                  <c:v>4.2164657676231219</c:v>
                </c:pt>
                <c:pt idx="86">
                  <c:v>6.373027019771321</c:v>
                </c:pt>
                <c:pt idx="87">
                  <c:v>5.2760739010208946</c:v>
                </c:pt>
                <c:pt idx="88">
                  <c:v>5.5360252695671655</c:v>
                </c:pt>
                <c:pt idx="89">
                  <c:v>6.3849774150841698</c:v>
                </c:pt>
                <c:pt idx="90">
                  <c:v>6.3829856825320288</c:v>
                </c:pt>
                <c:pt idx="91">
                  <c:v>4.4520184124056588</c:v>
                </c:pt>
                <c:pt idx="92">
                  <c:v>2.2675729045274782</c:v>
                </c:pt>
                <c:pt idx="93">
                  <c:v>4.4629729414424375</c:v>
                </c:pt>
                <c:pt idx="94">
                  <c:v>6.3670518221148962</c:v>
                </c:pt>
                <c:pt idx="95">
                  <c:v>5.3034602236128405</c:v>
                </c:pt>
                <c:pt idx="96">
                  <c:v>6.6309866557654509</c:v>
                </c:pt>
                <c:pt idx="97">
                  <c:v>5.533535603876989</c:v>
                </c:pt>
                <c:pt idx="98">
                  <c:v>5.5459839323278732</c:v>
                </c:pt>
                <c:pt idx="99">
                  <c:v>6.6235176586949205</c:v>
                </c:pt>
                <c:pt idx="100">
                  <c:v>6.6329783883175928</c:v>
                </c:pt>
                <c:pt idx="101">
                  <c:v>6.6394515191120522</c:v>
                </c:pt>
                <c:pt idx="102">
                  <c:v>6.6036003331735049</c:v>
                </c:pt>
                <c:pt idx="103">
                  <c:v>6.626007324385097</c:v>
                </c:pt>
                <c:pt idx="104">
                  <c:v>6.6165465947624247</c:v>
                </c:pt>
                <c:pt idx="105">
                  <c:v>6.6135589959342127</c:v>
                </c:pt>
                <c:pt idx="106">
                  <c:v>6.6080817314158224</c:v>
                </c:pt>
                <c:pt idx="107">
                  <c:v>6.6200321267286721</c:v>
                </c:pt>
                <c:pt idx="108">
                  <c:v>6.6324804551795573</c:v>
                </c:pt>
                <c:pt idx="109">
                  <c:v>5.2760739010208946</c:v>
                </c:pt>
                <c:pt idx="110">
                  <c:v>6.626007324385097</c:v>
                </c:pt>
                <c:pt idx="111">
                  <c:v>5.2915098282999908</c:v>
                </c:pt>
                <c:pt idx="112">
                  <c:v>4.4515204792676233</c:v>
                </c:pt>
                <c:pt idx="113">
                  <c:v>2.2874902300488937</c:v>
                </c:pt>
                <c:pt idx="114">
                  <c:v>4.2010298403440247</c:v>
                </c:pt>
                <c:pt idx="115">
                  <c:v>2.2725522359078321</c:v>
                </c:pt>
                <c:pt idx="116">
                  <c:v>5.5365232027052009</c:v>
                </c:pt>
                <c:pt idx="117">
                  <c:v>4.4545080780958362</c:v>
                </c:pt>
                <c:pt idx="118">
                  <c:v>6.3809939499798878</c:v>
                </c:pt>
                <c:pt idx="119">
                  <c:v>6.3954340109829131</c:v>
                </c:pt>
                <c:pt idx="120">
                  <c:v>6.3735249529093565</c:v>
                </c:pt>
                <c:pt idx="121">
                  <c:v>6.1349847092986058</c:v>
                </c:pt>
                <c:pt idx="122">
                  <c:v>2.2735481021839026</c:v>
                </c:pt>
                <c:pt idx="123">
                  <c:v>7.7055327833042853</c:v>
                </c:pt>
                <c:pt idx="124">
                  <c:v>5.53552733642913</c:v>
                </c:pt>
                <c:pt idx="125">
                  <c:v>5.5370211358432364</c:v>
                </c:pt>
                <c:pt idx="126">
                  <c:v>4.4465411478872703</c:v>
                </c:pt>
                <c:pt idx="127">
                  <c:v>6.6085796645538579</c:v>
                </c:pt>
                <c:pt idx="128">
                  <c:v>5.5360252695671655</c:v>
                </c:pt>
                <c:pt idx="129">
                  <c:v>2.2655811719753367</c:v>
                </c:pt>
                <c:pt idx="130">
                  <c:v>6.37103528721918</c:v>
                </c:pt>
                <c:pt idx="131">
                  <c:v>5.2860325637816024</c:v>
                </c:pt>
                <c:pt idx="132">
                  <c:v>6.3690435546670381</c:v>
                </c:pt>
                <c:pt idx="133">
                  <c:v>6.6045961994495759</c:v>
                </c:pt>
                <c:pt idx="134">
                  <c:v>2.2825108986685398</c:v>
                </c:pt>
                <c:pt idx="135">
                  <c:v>2.2740460353219381</c:v>
                </c:pt>
                <c:pt idx="136">
                  <c:v>2.2745439684599735</c:v>
                </c:pt>
                <c:pt idx="137">
                  <c:v>4.4375783514026335</c:v>
                </c:pt>
                <c:pt idx="138">
                  <c:v>4.4475370141633412</c:v>
                </c:pt>
                <c:pt idx="139">
                  <c:v>6.370039420943109</c:v>
                </c:pt>
                <c:pt idx="140">
                  <c:v>6.3859732813602408</c:v>
                </c:pt>
                <c:pt idx="141">
                  <c:v>6.3879650139123827</c:v>
                </c:pt>
                <c:pt idx="142">
                  <c:v>6.6045961994495759</c:v>
                </c:pt>
                <c:pt idx="143">
                  <c:v>4.4520184124056588</c:v>
                </c:pt>
                <c:pt idx="144">
                  <c:v>2.299440625361743</c:v>
                </c:pt>
                <c:pt idx="145">
                  <c:v>6.3795001505657813</c:v>
                </c:pt>
                <c:pt idx="146">
                  <c:v>5.2890201626098143</c:v>
                </c:pt>
                <c:pt idx="147">
                  <c:v>2.2745439684599735</c:v>
                </c:pt>
                <c:pt idx="148">
                  <c:v>5.5514611968462626</c:v>
                </c:pt>
                <c:pt idx="149">
                  <c:v>2.2919716282912121</c:v>
                </c:pt>
                <c:pt idx="150">
                  <c:v>4.439072150816739</c:v>
                </c:pt>
                <c:pt idx="151">
                  <c:v>4.4589894763381546</c:v>
                </c:pt>
                <c:pt idx="152">
                  <c:v>4.4490308135774468</c:v>
                </c:pt>
                <c:pt idx="153">
                  <c:v>6.1489268371635974</c:v>
                </c:pt>
                <c:pt idx="154">
                  <c:v>4.4614791420283311</c:v>
                </c:pt>
                <c:pt idx="155">
                  <c:v>5.5215852085641393</c:v>
                </c:pt>
                <c:pt idx="156">
                  <c:v>6.150420636577703</c:v>
                </c:pt>
                <c:pt idx="157">
                  <c:v>5.5385149352573428</c:v>
                </c:pt>
                <c:pt idx="158">
                  <c:v>4.4345907525744206</c:v>
                </c:pt>
                <c:pt idx="159">
                  <c:v>4.4589894763381546</c:v>
                </c:pt>
                <c:pt idx="160">
                  <c:v>5.5454859991898378</c:v>
                </c:pt>
                <c:pt idx="161">
                  <c:v>4.4405659502308445</c:v>
                </c:pt>
                <c:pt idx="162">
                  <c:v>5.5220831417021747</c:v>
                </c:pt>
                <c:pt idx="163">
                  <c:v>6.6185383273145657</c:v>
                </c:pt>
                <c:pt idx="164">
                  <c:v>5.5494694642941216</c:v>
                </c:pt>
                <c:pt idx="165">
                  <c:v>6.130005377918252</c:v>
                </c:pt>
                <c:pt idx="166">
                  <c:v>5.5375190689812719</c:v>
                </c:pt>
                <c:pt idx="167">
                  <c:v>4.45948740947619</c:v>
                </c:pt>
                <c:pt idx="168">
                  <c:v>4.4375783514026335</c:v>
                </c:pt>
                <c:pt idx="169">
                  <c:v>6.1409599069550307</c:v>
                </c:pt>
                <c:pt idx="170">
                  <c:v>4.4540101449578007</c:v>
                </c:pt>
                <c:pt idx="171">
                  <c:v>6.6205300598667076</c:v>
                </c:pt>
                <c:pt idx="172">
                  <c:v>6.130005377918252</c:v>
                </c:pt>
                <c:pt idx="173">
                  <c:v>5.2800573661251775</c:v>
                </c:pt>
                <c:pt idx="174">
                  <c:v>5.2870284300576733</c:v>
                </c:pt>
                <c:pt idx="175">
                  <c:v>6.1364785087127123</c:v>
                </c:pt>
                <c:pt idx="176">
                  <c:v>6.6180403941765302</c:v>
                </c:pt>
                <c:pt idx="177">
                  <c:v>2.2820129655305044</c:v>
                </c:pt>
                <c:pt idx="178">
                  <c:v>5.277567700435001</c:v>
                </c:pt>
                <c:pt idx="179">
                  <c:v>4.44006801709281</c:v>
                </c:pt>
                <c:pt idx="180">
                  <c:v>5.5230790079782457</c:v>
                </c:pt>
                <c:pt idx="181">
                  <c:v>6.6414432516641941</c:v>
                </c:pt>
                <c:pt idx="182">
                  <c:v>6.3894588133264891</c:v>
                </c:pt>
                <c:pt idx="183">
                  <c:v>5.534531470153059</c:v>
                </c:pt>
                <c:pt idx="184">
                  <c:v>2.2705605033556906</c:v>
                </c:pt>
                <c:pt idx="185">
                  <c:v>4.442059749644951</c:v>
                </c:pt>
                <c:pt idx="186">
                  <c:v>6.6155507284863537</c:v>
                </c:pt>
                <c:pt idx="187">
                  <c:v>6.1549020348200214</c:v>
                </c:pt>
                <c:pt idx="188">
                  <c:v>6.1439475057832427</c:v>
                </c:pt>
                <c:pt idx="189">
                  <c:v>5.5464818654659087</c:v>
                </c:pt>
                <c:pt idx="190">
                  <c:v>5.5420004672235903</c:v>
                </c:pt>
                <c:pt idx="191">
                  <c:v>6.377010484875604</c:v>
                </c:pt>
                <c:pt idx="192">
                  <c:v>2.2745439684599735</c:v>
                </c:pt>
                <c:pt idx="193">
                  <c:v>6.6215259261427786</c:v>
                </c:pt>
                <c:pt idx="194">
                  <c:v>6.3745208191854275</c:v>
                </c:pt>
                <c:pt idx="195">
                  <c:v>6.3999154092252324</c:v>
                </c:pt>
                <c:pt idx="196">
                  <c:v>2.2850005643587168</c:v>
                </c:pt>
                <c:pt idx="197">
                  <c:v>6.1384702412648542</c:v>
                </c:pt>
                <c:pt idx="198">
                  <c:v>4.4500266798535177</c:v>
                </c:pt>
                <c:pt idx="199">
                  <c:v>6.1479309708875265</c:v>
                </c:pt>
                <c:pt idx="200">
                  <c:v>2.256120442352664</c:v>
                </c:pt>
                <c:pt idx="201">
                  <c:v>5.532539737600918</c:v>
                </c:pt>
                <c:pt idx="202">
                  <c:v>5.53552733642913</c:v>
                </c:pt>
                <c:pt idx="203">
                  <c:v>6.3650600895627543</c:v>
                </c:pt>
                <c:pt idx="204">
                  <c:v>6.3929443452927366</c:v>
                </c:pt>
                <c:pt idx="205">
                  <c:v>7.7010513850619668</c:v>
                </c:pt>
                <c:pt idx="206">
                  <c:v>5.5330376707389535</c:v>
                </c:pt>
                <c:pt idx="207">
                  <c:v>6.3690435546670381</c:v>
                </c:pt>
                <c:pt idx="208">
                  <c:v>2.2665770382514072</c:v>
                </c:pt>
                <c:pt idx="209">
                  <c:v>5.5524570631223336</c:v>
                </c:pt>
                <c:pt idx="210">
                  <c:v>5.5624157258830413</c:v>
                </c:pt>
                <c:pt idx="211">
                  <c:v>5.2815511655392831</c:v>
                </c:pt>
                <c:pt idx="212">
                  <c:v>4.4649646739945794</c:v>
                </c:pt>
                <c:pt idx="213">
                  <c:v>4.4455452816111993</c:v>
                </c:pt>
                <c:pt idx="214">
                  <c:v>5.5420004672235903</c:v>
                </c:pt>
                <c:pt idx="215">
                  <c:v>6.6384556528359813</c:v>
                </c:pt>
                <c:pt idx="216">
                  <c:v>4.4415618165069155</c:v>
                </c:pt>
                <c:pt idx="217">
                  <c:v>4.45948740947619</c:v>
                </c:pt>
                <c:pt idx="218">
                  <c:v>6.370039420943109</c:v>
                </c:pt>
                <c:pt idx="219">
                  <c:v>5.5499673974321571</c:v>
                </c:pt>
                <c:pt idx="220">
                  <c:v>2.2695646370796196</c:v>
                </c:pt>
                <c:pt idx="221">
                  <c:v>3.965975128699522</c:v>
                </c:pt>
                <c:pt idx="222">
                  <c:v>4.2010298403440247</c:v>
                </c:pt>
                <c:pt idx="223">
                  <c:v>6.628994923213309</c:v>
                </c:pt>
                <c:pt idx="224">
                  <c:v>6.6085796645538579</c:v>
                </c:pt>
                <c:pt idx="225">
                  <c:v>6.3839815488080998</c:v>
                </c:pt>
                <c:pt idx="226">
                  <c:v>6.6623564434616807</c:v>
                </c:pt>
                <c:pt idx="227">
                  <c:v>4.4564998106479781</c:v>
                </c:pt>
                <c:pt idx="228">
                  <c:v>6.3780063511516749</c:v>
                </c:pt>
                <c:pt idx="229">
                  <c:v>6.3844794819461352</c:v>
                </c:pt>
                <c:pt idx="230">
                  <c:v>6.6175424610384947</c:v>
                </c:pt>
                <c:pt idx="231">
                  <c:v>6.4004133423632679</c:v>
                </c:pt>
                <c:pt idx="232">
                  <c:v>5.5688888566775017</c:v>
                </c:pt>
                <c:pt idx="233">
                  <c:v>6.624015591832956</c:v>
                </c:pt>
                <c:pt idx="234">
                  <c:v>6.1280136453661109</c:v>
                </c:pt>
                <c:pt idx="235">
                  <c:v>2.2944612939813891</c:v>
                </c:pt>
                <c:pt idx="236">
                  <c:v>5.5245728073923512</c:v>
                </c:pt>
                <c:pt idx="237">
                  <c:v>4.4520184124056588</c:v>
                </c:pt>
                <c:pt idx="238">
                  <c:v>5.5320418044628825</c:v>
                </c:pt>
                <c:pt idx="239">
                  <c:v>6.394438144706843</c:v>
                </c:pt>
                <c:pt idx="240">
                  <c:v>2.2790253667022919</c:v>
                </c:pt>
                <c:pt idx="241">
                  <c:v>6.6145548622102837</c:v>
                </c:pt>
                <c:pt idx="242">
                  <c:v>5.5220831417021747</c:v>
                </c:pt>
                <c:pt idx="243">
                  <c:v>6.6543895132531148</c:v>
                </c:pt>
                <c:pt idx="244">
                  <c:v>6.1558979010960924</c:v>
                </c:pt>
                <c:pt idx="245">
                  <c:v>5.5200914091500337</c:v>
                </c:pt>
                <c:pt idx="246">
                  <c:v>2.2770336341501505</c:v>
                </c:pt>
                <c:pt idx="247">
                  <c:v>5.534531470153059</c:v>
                </c:pt>
                <c:pt idx="248">
                  <c:v>6.3809939499798878</c:v>
                </c:pt>
                <c:pt idx="249">
                  <c:v>6.3755166854614975</c:v>
                </c:pt>
                <c:pt idx="250">
                  <c:v>6.3680476883909671</c:v>
                </c:pt>
                <c:pt idx="251">
                  <c:v>6.627999056937238</c:v>
                </c:pt>
                <c:pt idx="252">
                  <c:v>5.5459839323278732</c:v>
                </c:pt>
                <c:pt idx="253">
                  <c:v>6.3834836156700643</c:v>
                </c:pt>
                <c:pt idx="254">
                  <c:v>6.3785042842897104</c:v>
                </c:pt>
                <c:pt idx="255">
                  <c:v>2.298444759085672</c:v>
                </c:pt>
                <c:pt idx="256">
                  <c:v>5.5484735980180506</c:v>
                </c:pt>
                <c:pt idx="257">
                  <c:v>6.6185383273145657</c:v>
                </c:pt>
                <c:pt idx="258">
                  <c:v>6.6105713971059998</c:v>
                </c:pt>
                <c:pt idx="259">
                  <c:v>6.3834836156700643</c:v>
                </c:pt>
                <c:pt idx="260">
                  <c:v>4.211486436242768</c:v>
                </c:pt>
                <c:pt idx="261">
                  <c:v>4.2035195060342021</c:v>
                </c:pt>
                <c:pt idx="262">
                  <c:v>6.1235322471237916</c:v>
                </c:pt>
                <c:pt idx="263">
                  <c:v>2.2695646370796196</c:v>
                </c:pt>
                <c:pt idx="264">
                  <c:v>6.3665538889768607</c:v>
                </c:pt>
                <c:pt idx="265">
                  <c:v>6.1225363808477207</c:v>
                </c:pt>
                <c:pt idx="266">
                  <c:v>5.5340335370150235</c:v>
                </c:pt>
                <c:pt idx="267">
                  <c:v>6.1539061685439505</c:v>
                </c:pt>
                <c:pt idx="268">
                  <c:v>7.7070265827183917</c:v>
                </c:pt>
                <c:pt idx="269">
                  <c:v>6.6200321267286721</c:v>
                </c:pt>
                <c:pt idx="270">
                  <c:v>4.4739274704792162</c:v>
                </c:pt>
                <c:pt idx="271">
                  <c:v>6.1394661075409251</c:v>
                </c:pt>
                <c:pt idx="272">
                  <c:v>6.3809939499798878</c:v>
                </c:pt>
                <c:pt idx="273">
                  <c:v>6.6314845889034864</c:v>
                </c:pt>
                <c:pt idx="274">
                  <c:v>6.627999056937238</c:v>
                </c:pt>
                <c:pt idx="275">
                  <c:v>7.6895989228871535</c:v>
                </c:pt>
                <c:pt idx="276">
                  <c:v>6.6319825220415218</c:v>
                </c:pt>
                <c:pt idx="277">
                  <c:v>6.6080817314158224</c:v>
                </c:pt>
                <c:pt idx="278">
                  <c:v>6.3715332203572155</c:v>
                </c:pt>
                <c:pt idx="279">
                  <c:v>5.5604239933309003</c:v>
                </c:pt>
                <c:pt idx="280">
                  <c:v>4.438076284540668</c:v>
                </c:pt>
                <c:pt idx="281">
                  <c:v>6.6135589959342127</c:v>
                </c:pt>
                <c:pt idx="282">
                  <c:v>6.3934422784307721</c:v>
                </c:pt>
                <c:pt idx="283">
                  <c:v>6.624015591832956</c:v>
                </c:pt>
                <c:pt idx="284">
                  <c:v>5.2949953602662392</c:v>
                </c:pt>
                <c:pt idx="285">
                  <c:v>5.3034602236128405</c:v>
                </c:pt>
                <c:pt idx="286">
                  <c:v>5.5494694642941216</c:v>
                </c:pt>
                <c:pt idx="287">
                  <c:v>6.377010484875604</c:v>
                </c:pt>
                <c:pt idx="288">
                  <c:v>2.2695646370796196</c:v>
                </c:pt>
                <c:pt idx="289">
                  <c:v>6.4038988743295153</c:v>
                </c:pt>
                <c:pt idx="290">
                  <c:v>4.4589894763381546</c:v>
                </c:pt>
                <c:pt idx="291">
                  <c:v>4.4555039443719071</c:v>
                </c:pt>
                <c:pt idx="292">
                  <c:v>5.5474777317419797</c:v>
                </c:pt>
                <c:pt idx="293">
                  <c:v>5.514116211493608</c:v>
                </c:pt>
                <c:pt idx="294">
                  <c:v>4.4460432147492348</c:v>
                </c:pt>
                <c:pt idx="295">
                  <c:v>6.376014618599533</c:v>
                </c:pt>
                <c:pt idx="296">
                  <c:v>4.4555039443719071</c:v>
                </c:pt>
                <c:pt idx="297">
                  <c:v>4.4440514821970929</c:v>
                </c:pt>
                <c:pt idx="298">
                  <c:v>6.3685456215290026</c:v>
                </c:pt>
                <c:pt idx="299">
                  <c:v>5.534531470153059</c:v>
                </c:pt>
                <c:pt idx="300">
                  <c:v>5.3283568805146109</c:v>
                </c:pt>
                <c:pt idx="301">
                  <c:v>4.44106388336888</c:v>
                </c:pt>
                <c:pt idx="302">
                  <c:v>4.4415618165069155</c:v>
                </c:pt>
                <c:pt idx="303">
                  <c:v>4.463470874580473</c:v>
                </c:pt>
                <c:pt idx="304">
                  <c:v>5.5180996765978918</c:v>
                </c:pt>
                <c:pt idx="305">
                  <c:v>6.6255093912470615</c:v>
                </c:pt>
                <c:pt idx="306">
                  <c:v>5.5290542056346705</c:v>
                </c:pt>
                <c:pt idx="307">
                  <c:v>2.277531567288186</c:v>
                </c:pt>
                <c:pt idx="308">
                  <c:v>6.3705373540811445</c:v>
                </c:pt>
                <c:pt idx="309">
                  <c:v>6.1434495726452072</c:v>
                </c:pt>
                <c:pt idx="310">
                  <c:v>4.4465411478872703</c:v>
                </c:pt>
                <c:pt idx="311">
                  <c:v>6.1514165028537739</c:v>
                </c:pt>
                <c:pt idx="312">
                  <c:v>4.4560018775099426</c:v>
                </c:pt>
                <c:pt idx="313">
                  <c:v>6.6235176586949205</c:v>
                </c:pt>
                <c:pt idx="314">
                  <c:v>5.2880242963337443</c:v>
                </c:pt>
                <c:pt idx="315">
                  <c:v>5.3004726247846286</c:v>
                </c:pt>
                <c:pt idx="316">
                  <c:v>5.300970557922664</c:v>
                </c:pt>
                <c:pt idx="317">
                  <c:v>6.3929443452927366</c:v>
                </c:pt>
                <c:pt idx="318">
                  <c:v>3.9575102653529206</c:v>
                </c:pt>
                <c:pt idx="319">
                  <c:v>5.5514611968462626</c:v>
                </c:pt>
                <c:pt idx="320">
                  <c:v>4.4435535490590574</c:v>
                </c:pt>
                <c:pt idx="321">
                  <c:v>5.5375190689812719</c:v>
                </c:pt>
                <c:pt idx="322">
                  <c:v>6.3695414878050736</c:v>
                </c:pt>
                <c:pt idx="323">
                  <c:v>2.2735481021839026</c:v>
                </c:pt>
                <c:pt idx="324">
                  <c:v>5.2870284300576733</c:v>
                </c:pt>
                <c:pt idx="325">
                  <c:v>5.2949953602662392</c:v>
                </c:pt>
                <c:pt idx="326">
                  <c:v>4.4545080780958362</c:v>
                </c:pt>
                <c:pt idx="327">
                  <c:v>4.4555039443719071</c:v>
                </c:pt>
                <c:pt idx="328">
                  <c:v>5.5494694642941216</c:v>
                </c:pt>
                <c:pt idx="329">
                  <c:v>5.5380170021193074</c:v>
                </c:pt>
                <c:pt idx="330">
                  <c:v>6.6110693302440353</c:v>
                </c:pt>
                <c:pt idx="331">
                  <c:v>4.4540101449578007</c:v>
                </c:pt>
                <c:pt idx="332">
                  <c:v>4.439072150816739</c:v>
                </c:pt>
                <c:pt idx="333">
                  <c:v>4.436084551988527</c:v>
                </c:pt>
                <c:pt idx="334">
                  <c:v>6.6045961994495759</c:v>
                </c:pt>
                <c:pt idx="335">
                  <c:v>6.3939402115688075</c:v>
                </c:pt>
                <c:pt idx="336">
                  <c:v>6.6125631296581417</c:v>
                </c:pt>
                <c:pt idx="337">
                  <c:v>6.1379723081268187</c:v>
                </c:pt>
                <c:pt idx="338">
                  <c:v>5.5375190689812719</c:v>
                </c:pt>
                <c:pt idx="339">
                  <c:v>6.6185383273145657</c:v>
                </c:pt>
                <c:pt idx="340">
                  <c:v>5.5424984003616258</c:v>
                </c:pt>
                <c:pt idx="341">
                  <c:v>2.276535701012115</c:v>
                </c:pt>
                <c:pt idx="342">
                  <c:v>6.372031153495251</c:v>
                </c:pt>
                <c:pt idx="343">
                  <c:v>6.6090775976918934</c:v>
                </c:pt>
                <c:pt idx="344">
                  <c:v>6.370039420943109</c:v>
                </c:pt>
                <c:pt idx="345">
                  <c:v>6.6459246499065125</c:v>
                </c:pt>
                <c:pt idx="346">
                  <c:v>6.1205446482955796</c:v>
                </c:pt>
                <c:pt idx="347">
                  <c:v>6.6095755308299289</c:v>
                </c:pt>
                <c:pt idx="348">
                  <c:v>2.2725522359078321</c:v>
                </c:pt>
                <c:pt idx="349">
                  <c:v>5.531543871324847</c:v>
                </c:pt>
                <c:pt idx="350">
                  <c:v>5.3079416218551598</c:v>
                </c:pt>
                <c:pt idx="351">
                  <c:v>2.2770336341501505</c:v>
                </c:pt>
                <c:pt idx="352">
                  <c:v>2.2869922969108583</c:v>
                </c:pt>
                <c:pt idx="353">
                  <c:v>2.2725522359078321</c:v>
                </c:pt>
                <c:pt idx="354">
                  <c:v>5.5270624730825286</c:v>
                </c:pt>
                <c:pt idx="355">
                  <c:v>5.532539737600918</c:v>
                </c:pt>
                <c:pt idx="356">
                  <c:v>6.6349701208697338</c:v>
                </c:pt>
                <c:pt idx="357">
                  <c:v>6.3804960168418523</c:v>
                </c:pt>
                <c:pt idx="358">
                  <c:v>4.4465411478872703</c:v>
                </c:pt>
                <c:pt idx="359">
                  <c:v>4.4520184124056588</c:v>
                </c:pt>
                <c:pt idx="360">
                  <c:v>2.2675729045274782</c:v>
                </c:pt>
                <c:pt idx="361">
                  <c:v>4.45948740947619</c:v>
                </c:pt>
                <c:pt idx="362">
                  <c:v>6.3809939499798878</c:v>
                </c:pt>
                <c:pt idx="363">
                  <c:v>4.437080418264598</c:v>
                </c:pt>
                <c:pt idx="364">
                  <c:v>6.6339742545936637</c:v>
                </c:pt>
                <c:pt idx="365">
                  <c:v>4.4465411478872703</c:v>
                </c:pt>
                <c:pt idx="366">
                  <c:v>6.1349847092986058</c:v>
                </c:pt>
                <c:pt idx="367">
                  <c:v>4.4435535490590574</c:v>
                </c:pt>
                <c:pt idx="368">
                  <c:v>6.6245135249709914</c:v>
                </c:pt>
                <c:pt idx="369">
                  <c:v>6.3799980837038168</c:v>
                </c:pt>
                <c:pt idx="370">
                  <c:v>6.1384702412648542</c:v>
                </c:pt>
                <c:pt idx="371">
                  <c:v>6.1305033110562874</c:v>
                </c:pt>
                <c:pt idx="372">
                  <c:v>6.6200321267286721</c:v>
                </c:pt>
                <c:pt idx="373">
                  <c:v>6.1549020348200214</c:v>
                </c:pt>
                <c:pt idx="374">
                  <c:v>4.2109885031047325</c:v>
                </c:pt>
                <c:pt idx="375">
                  <c:v>5.0435088550665688</c:v>
                </c:pt>
                <c:pt idx="376">
                  <c:v>2.277531567288186</c:v>
                </c:pt>
                <c:pt idx="377">
                  <c:v>6.3670518221148962</c:v>
                </c:pt>
                <c:pt idx="378">
                  <c:v>2.2879881631869292</c:v>
                </c:pt>
                <c:pt idx="379">
                  <c:v>6.6155507284863537</c:v>
                </c:pt>
                <c:pt idx="380">
                  <c:v>6.3864712144982763</c:v>
                </c:pt>
                <c:pt idx="381">
                  <c:v>6.3884629470504182</c:v>
                </c:pt>
                <c:pt idx="382">
                  <c:v>2.2700625702176551</c:v>
                </c:pt>
                <c:pt idx="383">
                  <c:v>4.4395700839547745</c:v>
                </c:pt>
                <c:pt idx="384">
                  <c:v>6.6155507284863537</c:v>
                </c:pt>
                <c:pt idx="385">
                  <c:v>5.0489861195849572</c:v>
                </c:pt>
                <c:pt idx="386">
                  <c:v>6.6235176586949205</c:v>
                </c:pt>
                <c:pt idx="387">
                  <c:v>6.3819898162559587</c:v>
                </c:pt>
                <c:pt idx="388">
                  <c:v>6.1290095116421819</c:v>
                </c:pt>
                <c:pt idx="389">
                  <c:v>5.3034602236128405</c:v>
                </c:pt>
                <c:pt idx="390">
                  <c:v>6.1265198459520045</c:v>
                </c:pt>
                <c:pt idx="391">
                  <c:v>4.4415618165069155</c:v>
                </c:pt>
                <c:pt idx="392">
                  <c:v>4.4480349473013758</c:v>
                </c:pt>
                <c:pt idx="393">
                  <c:v>6.1245281133998626</c:v>
                </c:pt>
                <c:pt idx="394">
                  <c:v>6.6115672633820708</c:v>
                </c:pt>
                <c:pt idx="395">
                  <c:v>5.2939994939901682</c:v>
                </c:pt>
                <c:pt idx="396">
                  <c:v>4.44106388336888</c:v>
                </c:pt>
                <c:pt idx="397">
                  <c:v>6.3715332203572155</c:v>
                </c:pt>
                <c:pt idx="398">
                  <c:v>4.187087712479034</c:v>
                </c:pt>
                <c:pt idx="399">
                  <c:v>5.0360398579960384</c:v>
                </c:pt>
                <c:pt idx="400">
                  <c:v>2.2685687708035487</c:v>
                </c:pt>
                <c:pt idx="401">
                  <c:v>6.3809939499798878</c:v>
                </c:pt>
                <c:pt idx="402">
                  <c:v>5.533535603876989</c:v>
                </c:pt>
                <c:pt idx="403">
                  <c:v>6.1314991773323584</c:v>
                </c:pt>
                <c:pt idx="404">
                  <c:v>6.6384556528359813</c:v>
                </c:pt>
                <c:pt idx="405">
                  <c:v>5.300970557922664</c:v>
                </c:pt>
                <c:pt idx="406">
                  <c:v>5.2890201626098143</c:v>
                </c:pt>
                <c:pt idx="407">
                  <c:v>5.2959912265423101</c:v>
                </c:pt>
                <c:pt idx="408">
                  <c:v>5.2810532324012485</c:v>
                </c:pt>
                <c:pt idx="409">
                  <c:v>6.623019725556885</c:v>
                </c:pt>
                <c:pt idx="410">
                  <c:v>5.552954996260369</c:v>
                </c:pt>
                <c:pt idx="411">
                  <c:v>4.4560018775099426</c:v>
                </c:pt>
                <c:pt idx="412">
                  <c:v>5.5265645399444931</c:v>
                </c:pt>
                <c:pt idx="413">
                  <c:v>5.5320418044628825</c:v>
                </c:pt>
                <c:pt idx="414">
                  <c:v>4.4435535490590574</c:v>
                </c:pt>
                <c:pt idx="415">
                  <c:v>6.3869691476363117</c:v>
                </c:pt>
                <c:pt idx="416">
                  <c:v>6.3665538889768607</c:v>
                </c:pt>
                <c:pt idx="417">
                  <c:v>4.45948740947619</c:v>
                </c:pt>
                <c:pt idx="418">
                  <c:v>4.4465411478872703</c:v>
                </c:pt>
                <c:pt idx="419">
                  <c:v>5.5444901329137668</c:v>
                </c:pt>
                <c:pt idx="420">
                  <c:v>6.3874670807743472</c:v>
                </c:pt>
                <c:pt idx="421">
                  <c:v>6.1329929767464639</c:v>
                </c:pt>
                <c:pt idx="422">
                  <c:v>5.5365232027052009</c:v>
                </c:pt>
                <c:pt idx="423">
                  <c:v>6.3859732813602408</c:v>
                </c:pt>
                <c:pt idx="424">
                  <c:v>4.4435535490590574</c:v>
                </c:pt>
                <c:pt idx="425">
                  <c:v>6.397425743535055</c:v>
                </c:pt>
                <c:pt idx="426">
                  <c:v>4.4520184124056588</c:v>
                </c:pt>
                <c:pt idx="427">
                  <c:v>6.1384702412648542</c:v>
                </c:pt>
                <c:pt idx="428">
                  <c:v>6.1319971104703939</c:v>
                </c:pt>
                <c:pt idx="429">
                  <c:v>5.5235769411162812</c:v>
                </c:pt>
                <c:pt idx="430">
                  <c:v>6.6140569290722482</c:v>
                </c:pt>
                <c:pt idx="431">
                  <c:v>5.5255686736684222</c:v>
                </c:pt>
                <c:pt idx="432">
                  <c:v>6.3630683570106132</c:v>
                </c:pt>
                <c:pt idx="433">
                  <c:v>6.4068864731577273</c:v>
                </c:pt>
                <c:pt idx="434">
                  <c:v>6.4088782057098692</c:v>
                </c:pt>
                <c:pt idx="435">
                  <c:v>5.5464818654659087</c:v>
                </c:pt>
                <c:pt idx="436">
                  <c:v>5.5270624730825286</c:v>
                </c:pt>
                <c:pt idx="437">
                  <c:v>5.533535603876989</c:v>
                </c:pt>
                <c:pt idx="438">
                  <c:v>4.4316031537462077</c:v>
                </c:pt>
                <c:pt idx="439">
                  <c:v>5.530548005048777</c:v>
                </c:pt>
                <c:pt idx="440">
                  <c:v>6.6419411848022296</c:v>
                </c:pt>
                <c:pt idx="441">
                  <c:v>6.1384702412648542</c:v>
                </c:pt>
                <c:pt idx="442">
                  <c:v>5.2900160288858853</c:v>
                </c:pt>
                <c:pt idx="443">
                  <c:v>4.4480349473013758</c:v>
                </c:pt>
                <c:pt idx="444">
                  <c:v>6.6125631296581417</c:v>
                </c:pt>
                <c:pt idx="445">
                  <c:v>5.3094354212692654</c:v>
                </c:pt>
                <c:pt idx="446">
                  <c:v>4.4475370141633412</c:v>
                </c:pt>
                <c:pt idx="447">
                  <c:v>5.2800573661251775</c:v>
                </c:pt>
                <c:pt idx="448">
                  <c:v>6.6299907894893799</c:v>
                </c:pt>
                <c:pt idx="449">
                  <c:v>5.5180996765978918</c:v>
                </c:pt>
                <c:pt idx="450">
                  <c:v>6.3904546796025601</c:v>
                </c:pt>
                <c:pt idx="451">
                  <c:v>5.5589301939167939</c:v>
                </c:pt>
                <c:pt idx="452">
                  <c:v>2.2700625702176551</c:v>
                </c:pt>
                <c:pt idx="453">
                  <c:v>6.3610766244584722</c:v>
                </c:pt>
                <c:pt idx="454">
                  <c:v>4.4550060112338716</c:v>
                </c:pt>
                <c:pt idx="455">
                  <c:v>6.1235322471237916</c:v>
                </c:pt>
                <c:pt idx="456">
                  <c:v>6.3864712144982763</c:v>
                </c:pt>
                <c:pt idx="457">
                  <c:v>4.45948740947619</c:v>
                </c:pt>
                <c:pt idx="458">
                  <c:v>6.6379577196979458</c:v>
                </c:pt>
                <c:pt idx="459">
                  <c:v>6.147433037749491</c:v>
                </c:pt>
                <c:pt idx="460">
                  <c:v>7.7199728443073123</c:v>
                </c:pt>
                <c:pt idx="461">
                  <c:v>5.5275604062205641</c:v>
                </c:pt>
                <c:pt idx="462">
                  <c:v>5.530548005048777</c:v>
                </c:pt>
                <c:pt idx="463">
                  <c:v>5.5310459381868124</c:v>
                </c:pt>
                <c:pt idx="464">
                  <c:v>2.2934654277053181</c:v>
                </c:pt>
                <c:pt idx="465">
                  <c:v>5.5375190689812719</c:v>
                </c:pt>
                <c:pt idx="466">
                  <c:v>5.5405066678094848</c:v>
                </c:pt>
                <c:pt idx="467">
                  <c:v>6.3954340109829131</c:v>
                </c:pt>
                <c:pt idx="468">
                  <c:v>5.5275604062205641</c:v>
                </c:pt>
                <c:pt idx="469">
                  <c:v>6.6334763214556283</c:v>
                </c:pt>
                <c:pt idx="470">
                  <c:v>5.534531470153059</c:v>
                </c:pt>
                <c:pt idx="471">
                  <c:v>5.5285562724966351</c:v>
                </c:pt>
                <c:pt idx="472">
                  <c:v>6.1369764418507478</c:v>
                </c:pt>
                <c:pt idx="473">
                  <c:v>6.6324804551795573</c:v>
                </c:pt>
                <c:pt idx="474">
                  <c:v>6.376014618599533</c:v>
                </c:pt>
                <c:pt idx="475">
                  <c:v>5.5210872754261047</c:v>
                </c:pt>
                <c:pt idx="476">
                  <c:v>6.377010484875604</c:v>
                </c:pt>
                <c:pt idx="477">
                  <c:v>4.4460432147492348</c:v>
                </c:pt>
                <c:pt idx="478">
                  <c:v>6.6155507284863537</c:v>
                </c:pt>
                <c:pt idx="479">
                  <c:v>7.7100141815466046</c:v>
                </c:pt>
                <c:pt idx="480">
                  <c:v>5.2845387643674959</c:v>
                </c:pt>
                <c:pt idx="481">
                  <c:v>4.4525163455436942</c:v>
                </c:pt>
                <c:pt idx="482">
                  <c:v>7.7075245158564272</c:v>
                </c:pt>
                <c:pt idx="483">
                  <c:v>6.6180403941765302</c:v>
                </c:pt>
                <c:pt idx="484">
                  <c:v>6.3685456215290026</c:v>
                </c:pt>
                <c:pt idx="485">
                  <c:v>6.3695414878050736</c:v>
                </c:pt>
                <c:pt idx="486">
                  <c:v>6.3899567464645246</c:v>
                </c:pt>
                <c:pt idx="487">
                  <c:v>2.2929674945672831</c:v>
                </c:pt>
                <c:pt idx="488">
                  <c:v>6.3949360778448776</c:v>
                </c:pt>
                <c:pt idx="489">
                  <c:v>5.2905139620239208</c:v>
                </c:pt>
                <c:pt idx="490">
                  <c:v>5.5225810748402102</c:v>
                </c:pt>
                <c:pt idx="491">
                  <c:v>2.2760377678740795</c:v>
                </c:pt>
                <c:pt idx="492">
                  <c:v>4.4425576827829865</c:v>
                </c:pt>
                <c:pt idx="493">
                  <c:v>5.2840408312294604</c:v>
                </c:pt>
                <c:pt idx="494">
                  <c:v>6.1414578400930662</c:v>
                </c:pt>
                <c:pt idx="495">
                  <c:v>4.4480349473013758</c:v>
                </c:pt>
                <c:pt idx="496">
                  <c:v>4.4913551303104544</c:v>
                </c:pt>
                <c:pt idx="497">
                  <c:v>5.3034602236128405</c:v>
                </c:pt>
                <c:pt idx="498">
                  <c:v>6.3695414878050736</c:v>
                </c:pt>
                <c:pt idx="499">
                  <c:v>6.391450545878631</c:v>
                </c:pt>
              </c:numCache>
            </c:numRef>
          </c:yVal>
          <c:smooth val="0"/>
          <c:extLst>
            <c:ext xmlns:c16="http://schemas.microsoft.com/office/drawing/2014/chart" uri="{C3380CC4-5D6E-409C-BE32-E72D297353CC}">
              <c16:uniqueId val="{00000002-E836-422A-9837-F70278ABB3EE}"/>
            </c:ext>
          </c:extLst>
        </c:ser>
        <c:dLbls>
          <c:showLegendKey val="0"/>
          <c:showVal val="0"/>
          <c:showCatName val="0"/>
          <c:showSerName val="0"/>
          <c:showPercent val="0"/>
          <c:showBubbleSize val="0"/>
        </c:dLbls>
        <c:axId val="618061056"/>
        <c:axId val="618062496"/>
      </c:scatterChart>
      <c:valAx>
        <c:axId val="618061056"/>
        <c:scaling>
          <c:orientation val="minMax"/>
        </c:scaling>
        <c:delete val="0"/>
        <c:axPos val="b"/>
        <c:title>
          <c:tx>
            <c:rich>
              <a:bodyPr/>
              <a:lstStyle/>
              <a:p>
                <a:pPr>
                  <a:defRPr/>
                </a:pPr>
                <a:r>
                  <a:rPr lang="en-GB"/>
                  <a:t>X11 Wait for Info (days)</a:t>
                </a:r>
              </a:p>
            </c:rich>
          </c:tx>
          <c:overlay val="0"/>
        </c:title>
        <c:numFmt formatCode="General" sourceLinked="1"/>
        <c:majorTickMark val="out"/>
        <c:minorTickMark val="none"/>
        <c:tickLblPos val="nextTo"/>
        <c:crossAx val="618062496"/>
        <c:crosses val="autoZero"/>
        <c:crossBetween val="midCat"/>
      </c:valAx>
      <c:valAx>
        <c:axId val="618062496"/>
        <c:scaling>
          <c:orientation val="minMax"/>
        </c:scaling>
        <c:delete val="0"/>
        <c:axPos val="l"/>
        <c:title>
          <c:tx>
            <c:rich>
              <a:bodyPr/>
              <a:lstStyle/>
              <a:p>
                <a:pPr>
                  <a:defRPr/>
                </a:pPr>
                <a:r>
                  <a:rPr lang="en-GB"/>
                  <a:t>Y Lead Time (days)</a:t>
                </a:r>
              </a:p>
            </c:rich>
          </c:tx>
          <c:overlay val="0"/>
        </c:title>
        <c:numFmt formatCode="General" sourceLinked="1"/>
        <c:majorTickMark val="out"/>
        <c:minorTickMark val="none"/>
        <c:tickLblPos val="nextTo"/>
        <c:crossAx val="618061056"/>
        <c:crosses val="autoZero"/>
        <c:crossBetween val="midCat"/>
      </c:valAx>
    </c:plotArea>
    <c:legend>
      <c:legendPos val="r"/>
      <c:overlay val="0"/>
    </c:legend>
    <c:plotVisOnly val="1"/>
    <c:dispBlanksAs val="gap"/>
    <c:showDLblsOverMax val="0"/>
    <c:extLst>
      <c:ext xmlns:c16r3="http://schemas.microsoft.com/office/drawing/2017/03/chart" uri="{56B9EC1D-385E-4148-901F-78D8002777C0}">
        <c16r3:dataDisplayOptions16>
          <c16r3:dispNaAsBlank val="1"/>
        </c16r3:dataDisplayOptions16>
      </c:ext>
    </c:extLst>
  </c:chart>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Normal Probability Plot</a:t>
            </a:r>
          </a:p>
        </c:rich>
      </c:tx>
      <c:overlay val="0"/>
    </c:title>
    <c:autoTitleDeleted val="0"/>
    <c:plotArea>
      <c:layout/>
      <c:scatterChart>
        <c:scatterStyle val="lineMarker"/>
        <c:varyColors val="0"/>
        <c:ser>
          <c:idx val="0"/>
          <c:order val="0"/>
          <c:spPr>
            <a:ln w="19050">
              <a:noFill/>
            </a:ln>
          </c:spPr>
          <c:xVal>
            <c:numRef>
              <c:f>Regression!$K$50:$K$549</c:f>
              <c:numCache>
                <c:formatCode>General</c:formatCode>
                <c:ptCount val="500"/>
                <c:pt idx="0">
                  <c:v>0.1</c:v>
                </c:pt>
                <c:pt idx="1">
                  <c:v>0.30000000000000004</c:v>
                </c:pt>
                <c:pt idx="2">
                  <c:v>0.5</c:v>
                </c:pt>
                <c:pt idx="3">
                  <c:v>0.70000000000000007</c:v>
                </c:pt>
                <c:pt idx="4">
                  <c:v>0.9</c:v>
                </c:pt>
                <c:pt idx="5">
                  <c:v>1.1000000000000001</c:v>
                </c:pt>
                <c:pt idx="6">
                  <c:v>1.3000000000000003</c:v>
                </c:pt>
                <c:pt idx="7">
                  <c:v>1.5000000000000002</c:v>
                </c:pt>
                <c:pt idx="8">
                  <c:v>1.7000000000000002</c:v>
                </c:pt>
                <c:pt idx="9">
                  <c:v>1.9000000000000001</c:v>
                </c:pt>
                <c:pt idx="10">
                  <c:v>2.1</c:v>
                </c:pt>
                <c:pt idx="11">
                  <c:v>2.3000000000000003</c:v>
                </c:pt>
                <c:pt idx="12">
                  <c:v>2.5000000000000004</c:v>
                </c:pt>
                <c:pt idx="13">
                  <c:v>2.7</c:v>
                </c:pt>
                <c:pt idx="14">
                  <c:v>2.9000000000000004</c:v>
                </c:pt>
                <c:pt idx="15">
                  <c:v>3.1</c:v>
                </c:pt>
                <c:pt idx="16">
                  <c:v>3.3000000000000003</c:v>
                </c:pt>
                <c:pt idx="17">
                  <c:v>3.5000000000000004</c:v>
                </c:pt>
                <c:pt idx="18">
                  <c:v>3.7</c:v>
                </c:pt>
                <c:pt idx="19">
                  <c:v>3.9000000000000004</c:v>
                </c:pt>
                <c:pt idx="20">
                  <c:v>4.0999999999999996</c:v>
                </c:pt>
                <c:pt idx="21">
                  <c:v>4.3</c:v>
                </c:pt>
                <c:pt idx="22">
                  <c:v>4.5</c:v>
                </c:pt>
                <c:pt idx="23">
                  <c:v>4.7</c:v>
                </c:pt>
                <c:pt idx="24">
                  <c:v>4.9000000000000004</c:v>
                </c:pt>
                <c:pt idx="25">
                  <c:v>5.0999999999999996</c:v>
                </c:pt>
                <c:pt idx="26">
                  <c:v>5.3</c:v>
                </c:pt>
                <c:pt idx="27">
                  <c:v>5.5</c:v>
                </c:pt>
                <c:pt idx="28">
                  <c:v>5.7</c:v>
                </c:pt>
                <c:pt idx="29">
                  <c:v>5.9</c:v>
                </c:pt>
                <c:pt idx="30">
                  <c:v>6.1</c:v>
                </c:pt>
                <c:pt idx="31">
                  <c:v>6.3</c:v>
                </c:pt>
                <c:pt idx="32">
                  <c:v>6.5</c:v>
                </c:pt>
                <c:pt idx="33">
                  <c:v>6.7</c:v>
                </c:pt>
                <c:pt idx="34">
                  <c:v>6.9</c:v>
                </c:pt>
                <c:pt idx="35">
                  <c:v>7.1</c:v>
                </c:pt>
                <c:pt idx="36">
                  <c:v>7.3</c:v>
                </c:pt>
                <c:pt idx="37">
                  <c:v>7.5</c:v>
                </c:pt>
                <c:pt idx="38">
                  <c:v>7.7</c:v>
                </c:pt>
                <c:pt idx="39">
                  <c:v>7.9</c:v>
                </c:pt>
                <c:pt idx="40">
                  <c:v>8.1</c:v>
                </c:pt>
                <c:pt idx="41">
                  <c:v>8.3000000000000007</c:v>
                </c:pt>
                <c:pt idx="42">
                  <c:v>8.5</c:v>
                </c:pt>
                <c:pt idx="43">
                  <c:v>8.6999999999999993</c:v>
                </c:pt>
                <c:pt idx="44">
                  <c:v>8.9</c:v>
                </c:pt>
                <c:pt idx="45">
                  <c:v>9.1</c:v>
                </c:pt>
                <c:pt idx="46">
                  <c:v>9.3000000000000007</c:v>
                </c:pt>
                <c:pt idx="47">
                  <c:v>9.5</c:v>
                </c:pt>
                <c:pt idx="48">
                  <c:v>9.7000000000000011</c:v>
                </c:pt>
                <c:pt idx="49">
                  <c:v>9.9</c:v>
                </c:pt>
                <c:pt idx="50">
                  <c:v>10.1</c:v>
                </c:pt>
                <c:pt idx="51">
                  <c:v>10.3</c:v>
                </c:pt>
                <c:pt idx="52">
                  <c:v>10.5</c:v>
                </c:pt>
                <c:pt idx="53">
                  <c:v>10.700000000000001</c:v>
                </c:pt>
                <c:pt idx="54">
                  <c:v>10.9</c:v>
                </c:pt>
                <c:pt idx="55">
                  <c:v>11.1</c:v>
                </c:pt>
                <c:pt idx="56">
                  <c:v>11.3</c:v>
                </c:pt>
                <c:pt idx="57">
                  <c:v>11.5</c:v>
                </c:pt>
                <c:pt idx="58">
                  <c:v>11.700000000000001</c:v>
                </c:pt>
                <c:pt idx="59">
                  <c:v>11.9</c:v>
                </c:pt>
                <c:pt idx="60">
                  <c:v>12.1</c:v>
                </c:pt>
                <c:pt idx="61">
                  <c:v>12.3</c:v>
                </c:pt>
                <c:pt idx="62">
                  <c:v>12.5</c:v>
                </c:pt>
                <c:pt idx="63">
                  <c:v>12.700000000000001</c:v>
                </c:pt>
                <c:pt idx="64">
                  <c:v>12.9</c:v>
                </c:pt>
                <c:pt idx="65">
                  <c:v>13.1</c:v>
                </c:pt>
                <c:pt idx="66">
                  <c:v>13.3</c:v>
                </c:pt>
                <c:pt idx="67">
                  <c:v>13.5</c:v>
                </c:pt>
                <c:pt idx="68">
                  <c:v>13.700000000000001</c:v>
                </c:pt>
                <c:pt idx="69">
                  <c:v>13.9</c:v>
                </c:pt>
                <c:pt idx="70">
                  <c:v>14.1</c:v>
                </c:pt>
                <c:pt idx="71">
                  <c:v>14.3</c:v>
                </c:pt>
                <c:pt idx="72">
                  <c:v>14.5</c:v>
                </c:pt>
                <c:pt idx="73">
                  <c:v>14.700000000000001</c:v>
                </c:pt>
                <c:pt idx="74">
                  <c:v>14.9</c:v>
                </c:pt>
                <c:pt idx="75">
                  <c:v>15.1</c:v>
                </c:pt>
                <c:pt idx="76">
                  <c:v>15.3</c:v>
                </c:pt>
                <c:pt idx="77">
                  <c:v>15.5</c:v>
                </c:pt>
                <c:pt idx="78">
                  <c:v>15.700000000000001</c:v>
                </c:pt>
                <c:pt idx="79">
                  <c:v>15.9</c:v>
                </c:pt>
                <c:pt idx="80">
                  <c:v>16.100000000000001</c:v>
                </c:pt>
                <c:pt idx="81">
                  <c:v>16.3</c:v>
                </c:pt>
                <c:pt idx="82">
                  <c:v>16.500000000000004</c:v>
                </c:pt>
                <c:pt idx="83">
                  <c:v>16.700000000000003</c:v>
                </c:pt>
                <c:pt idx="84">
                  <c:v>16.900000000000002</c:v>
                </c:pt>
                <c:pt idx="85">
                  <c:v>17.100000000000001</c:v>
                </c:pt>
                <c:pt idx="86">
                  <c:v>17.3</c:v>
                </c:pt>
                <c:pt idx="87">
                  <c:v>17.500000000000004</c:v>
                </c:pt>
                <c:pt idx="88">
                  <c:v>17.700000000000003</c:v>
                </c:pt>
                <c:pt idx="89">
                  <c:v>17.900000000000002</c:v>
                </c:pt>
                <c:pt idx="90">
                  <c:v>18.100000000000001</c:v>
                </c:pt>
                <c:pt idx="91">
                  <c:v>18.3</c:v>
                </c:pt>
                <c:pt idx="92">
                  <c:v>18.500000000000004</c:v>
                </c:pt>
                <c:pt idx="93">
                  <c:v>18.700000000000003</c:v>
                </c:pt>
                <c:pt idx="94">
                  <c:v>18.900000000000002</c:v>
                </c:pt>
                <c:pt idx="95">
                  <c:v>19.100000000000001</c:v>
                </c:pt>
                <c:pt idx="96">
                  <c:v>19.300000000000004</c:v>
                </c:pt>
                <c:pt idx="97">
                  <c:v>19.500000000000004</c:v>
                </c:pt>
                <c:pt idx="98">
                  <c:v>19.700000000000003</c:v>
                </c:pt>
                <c:pt idx="99">
                  <c:v>19.900000000000002</c:v>
                </c:pt>
                <c:pt idx="100">
                  <c:v>20.100000000000001</c:v>
                </c:pt>
                <c:pt idx="101">
                  <c:v>20.300000000000004</c:v>
                </c:pt>
                <c:pt idx="102">
                  <c:v>20.500000000000004</c:v>
                </c:pt>
                <c:pt idx="103">
                  <c:v>20.700000000000003</c:v>
                </c:pt>
                <c:pt idx="104">
                  <c:v>20.900000000000002</c:v>
                </c:pt>
                <c:pt idx="105">
                  <c:v>21.1</c:v>
                </c:pt>
                <c:pt idx="106">
                  <c:v>21.300000000000004</c:v>
                </c:pt>
                <c:pt idx="107">
                  <c:v>21.500000000000004</c:v>
                </c:pt>
                <c:pt idx="108">
                  <c:v>21.700000000000003</c:v>
                </c:pt>
                <c:pt idx="109">
                  <c:v>21.900000000000002</c:v>
                </c:pt>
                <c:pt idx="110">
                  <c:v>22.1</c:v>
                </c:pt>
                <c:pt idx="111">
                  <c:v>22.300000000000004</c:v>
                </c:pt>
                <c:pt idx="112">
                  <c:v>22.500000000000004</c:v>
                </c:pt>
                <c:pt idx="113">
                  <c:v>22.700000000000003</c:v>
                </c:pt>
                <c:pt idx="114">
                  <c:v>22.900000000000002</c:v>
                </c:pt>
                <c:pt idx="115">
                  <c:v>23.1</c:v>
                </c:pt>
                <c:pt idx="116">
                  <c:v>23.300000000000004</c:v>
                </c:pt>
                <c:pt idx="117">
                  <c:v>23.500000000000004</c:v>
                </c:pt>
                <c:pt idx="118">
                  <c:v>23.700000000000003</c:v>
                </c:pt>
                <c:pt idx="119">
                  <c:v>23.900000000000002</c:v>
                </c:pt>
                <c:pt idx="120">
                  <c:v>24.1</c:v>
                </c:pt>
                <c:pt idx="121">
                  <c:v>24.300000000000004</c:v>
                </c:pt>
                <c:pt idx="122">
                  <c:v>24.500000000000004</c:v>
                </c:pt>
                <c:pt idx="123">
                  <c:v>24.700000000000003</c:v>
                </c:pt>
                <c:pt idx="124">
                  <c:v>24.900000000000002</c:v>
                </c:pt>
                <c:pt idx="125">
                  <c:v>25.1</c:v>
                </c:pt>
                <c:pt idx="126">
                  <c:v>25.300000000000004</c:v>
                </c:pt>
                <c:pt idx="127">
                  <c:v>25.500000000000004</c:v>
                </c:pt>
                <c:pt idx="128">
                  <c:v>25.700000000000003</c:v>
                </c:pt>
                <c:pt idx="129">
                  <c:v>25.900000000000002</c:v>
                </c:pt>
                <c:pt idx="130">
                  <c:v>26.1</c:v>
                </c:pt>
                <c:pt idx="131">
                  <c:v>26.300000000000004</c:v>
                </c:pt>
                <c:pt idx="132">
                  <c:v>26.500000000000004</c:v>
                </c:pt>
                <c:pt idx="133">
                  <c:v>26.700000000000003</c:v>
                </c:pt>
                <c:pt idx="134">
                  <c:v>26.900000000000002</c:v>
                </c:pt>
                <c:pt idx="135">
                  <c:v>27.1</c:v>
                </c:pt>
                <c:pt idx="136">
                  <c:v>27.300000000000004</c:v>
                </c:pt>
                <c:pt idx="137">
                  <c:v>27.500000000000004</c:v>
                </c:pt>
                <c:pt idx="138">
                  <c:v>27.700000000000003</c:v>
                </c:pt>
                <c:pt idx="139">
                  <c:v>27.900000000000002</c:v>
                </c:pt>
                <c:pt idx="140">
                  <c:v>28.1</c:v>
                </c:pt>
                <c:pt idx="141">
                  <c:v>28.300000000000004</c:v>
                </c:pt>
                <c:pt idx="142">
                  <c:v>28.500000000000004</c:v>
                </c:pt>
                <c:pt idx="143">
                  <c:v>28.700000000000003</c:v>
                </c:pt>
                <c:pt idx="144">
                  <c:v>28.900000000000002</c:v>
                </c:pt>
                <c:pt idx="145">
                  <c:v>29.1</c:v>
                </c:pt>
                <c:pt idx="146">
                  <c:v>29.300000000000004</c:v>
                </c:pt>
                <c:pt idx="147">
                  <c:v>29.500000000000004</c:v>
                </c:pt>
                <c:pt idx="148">
                  <c:v>29.700000000000003</c:v>
                </c:pt>
                <c:pt idx="149">
                  <c:v>29.900000000000002</c:v>
                </c:pt>
                <c:pt idx="150">
                  <c:v>30.1</c:v>
                </c:pt>
                <c:pt idx="151">
                  <c:v>30.300000000000004</c:v>
                </c:pt>
                <c:pt idx="152">
                  <c:v>30.500000000000004</c:v>
                </c:pt>
                <c:pt idx="153">
                  <c:v>30.700000000000003</c:v>
                </c:pt>
                <c:pt idx="154">
                  <c:v>30.900000000000002</c:v>
                </c:pt>
                <c:pt idx="155">
                  <c:v>31.1</c:v>
                </c:pt>
                <c:pt idx="156">
                  <c:v>31.300000000000004</c:v>
                </c:pt>
                <c:pt idx="157">
                  <c:v>31.500000000000004</c:v>
                </c:pt>
                <c:pt idx="158">
                  <c:v>31.700000000000003</c:v>
                </c:pt>
                <c:pt idx="159">
                  <c:v>31.900000000000002</c:v>
                </c:pt>
                <c:pt idx="160">
                  <c:v>32.1</c:v>
                </c:pt>
                <c:pt idx="161">
                  <c:v>32.300000000000004</c:v>
                </c:pt>
                <c:pt idx="162">
                  <c:v>32.5</c:v>
                </c:pt>
                <c:pt idx="163">
                  <c:v>32.700000000000003</c:v>
                </c:pt>
                <c:pt idx="164">
                  <c:v>32.900000000000006</c:v>
                </c:pt>
                <c:pt idx="165">
                  <c:v>33.1</c:v>
                </c:pt>
                <c:pt idx="166">
                  <c:v>33.300000000000004</c:v>
                </c:pt>
                <c:pt idx="167">
                  <c:v>33.5</c:v>
                </c:pt>
                <c:pt idx="168">
                  <c:v>33.700000000000003</c:v>
                </c:pt>
                <c:pt idx="169">
                  <c:v>33.900000000000006</c:v>
                </c:pt>
                <c:pt idx="170">
                  <c:v>34.1</c:v>
                </c:pt>
                <c:pt idx="171">
                  <c:v>34.300000000000004</c:v>
                </c:pt>
                <c:pt idx="172">
                  <c:v>34.5</c:v>
                </c:pt>
                <c:pt idx="173">
                  <c:v>34.700000000000003</c:v>
                </c:pt>
                <c:pt idx="174">
                  <c:v>34.900000000000006</c:v>
                </c:pt>
                <c:pt idx="175">
                  <c:v>35.1</c:v>
                </c:pt>
                <c:pt idx="176">
                  <c:v>35.300000000000004</c:v>
                </c:pt>
                <c:pt idx="177">
                  <c:v>35.5</c:v>
                </c:pt>
                <c:pt idx="178">
                  <c:v>35.700000000000003</c:v>
                </c:pt>
                <c:pt idx="179">
                  <c:v>35.900000000000006</c:v>
                </c:pt>
                <c:pt idx="180">
                  <c:v>36.1</c:v>
                </c:pt>
                <c:pt idx="181">
                  <c:v>36.300000000000004</c:v>
                </c:pt>
                <c:pt idx="182">
                  <c:v>36.5</c:v>
                </c:pt>
                <c:pt idx="183">
                  <c:v>36.700000000000003</c:v>
                </c:pt>
                <c:pt idx="184">
                  <c:v>36.900000000000006</c:v>
                </c:pt>
                <c:pt idx="185">
                  <c:v>37.1</c:v>
                </c:pt>
                <c:pt idx="186">
                  <c:v>37.300000000000004</c:v>
                </c:pt>
                <c:pt idx="187">
                  <c:v>37.5</c:v>
                </c:pt>
                <c:pt idx="188">
                  <c:v>37.700000000000003</c:v>
                </c:pt>
                <c:pt idx="189">
                  <c:v>37.900000000000006</c:v>
                </c:pt>
                <c:pt idx="190">
                  <c:v>38.1</c:v>
                </c:pt>
                <c:pt idx="191">
                  <c:v>38.300000000000004</c:v>
                </c:pt>
                <c:pt idx="192">
                  <c:v>38.500000000000007</c:v>
                </c:pt>
                <c:pt idx="193">
                  <c:v>38.700000000000003</c:v>
                </c:pt>
                <c:pt idx="194">
                  <c:v>38.900000000000006</c:v>
                </c:pt>
                <c:pt idx="195">
                  <c:v>39.1</c:v>
                </c:pt>
                <c:pt idx="196">
                  <c:v>39.300000000000004</c:v>
                </c:pt>
                <c:pt idx="197">
                  <c:v>39.500000000000007</c:v>
                </c:pt>
                <c:pt idx="198">
                  <c:v>39.700000000000003</c:v>
                </c:pt>
                <c:pt idx="199">
                  <c:v>39.900000000000006</c:v>
                </c:pt>
                <c:pt idx="200">
                  <c:v>40.1</c:v>
                </c:pt>
                <c:pt idx="201">
                  <c:v>40.300000000000004</c:v>
                </c:pt>
                <c:pt idx="202">
                  <c:v>40.500000000000007</c:v>
                </c:pt>
                <c:pt idx="203">
                  <c:v>40.700000000000003</c:v>
                </c:pt>
                <c:pt idx="204">
                  <c:v>40.900000000000006</c:v>
                </c:pt>
                <c:pt idx="205">
                  <c:v>41.1</c:v>
                </c:pt>
                <c:pt idx="206">
                  <c:v>41.300000000000004</c:v>
                </c:pt>
                <c:pt idx="207">
                  <c:v>41.500000000000007</c:v>
                </c:pt>
                <c:pt idx="208">
                  <c:v>41.7</c:v>
                </c:pt>
                <c:pt idx="209">
                  <c:v>41.900000000000006</c:v>
                </c:pt>
                <c:pt idx="210">
                  <c:v>42.1</c:v>
                </c:pt>
                <c:pt idx="211">
                  <c:v>42.300000000000004</c:v>
                </c:pt>
                <c:pt idx="212">
                  <c:v>42.500000000000007</c:v>
                </c:pt>
                <c:pt idx="213">
                  <c:v>42.7</c:v>
                </c:pt>
                <c:pt idx="214">
                  <c:v>42.900000000000006</c:v>
                </c:pt>
                <c:pt idx="215">
                  <c:v>43.1</c:v>
                </c:pt>
                <c:pt idx="216">
                  <c:v>43.300000000000004</c:v>
                </c:pt>
                <c:pt idx="217">
                  <c:v>43.500000000000007</c:v>
                </c:pt>
                <c:pt idx="218">
                  <c:v>43.7</c:v>
                </c:pt>
                <c:pt idx="219">
                  <c:v>43.900000000000006</c:v>
                </c:pt>
                <c:pt idx="220">
                  <c:v>44.1</c:v>
                </c:pt>
                <c:pt idx="221">
                  <c:v>44.300000000000004</c:v>
                </c:pt>
                <c:pt idx="222">
                  <c:v>44.500000000000007</c:v>
                </c:pt>
                <c:pt idx="223">
                  <c:v>44.7</c:v>
                </c:pt>
                <c:pt idx="224">
                  <c:v>44.900000000000006</c:v>
                </c:pt>
                <c:pt idx="225">
                  <c:v>45.1</c:v>
                </c:pt>
                <c:pt idx="226">
                  <c:v>45.300000000000004</c:v>
                </c:pt>
                <c:pt idx="227">
                  <c:v>45.500000000000007</c:v>
                </c:pt>
                <c:pt idx="228">
                  <c:v>45.7</c:v>
                </c:pt>
                <c:pt idx="229">
                  <c:v>45.900000000000006</c:v>
                </c:pt>
                <c:pt idx="230">
                  <c:v>46.1</c:v>
                </c:pt>
                <c:pt idx="231">
                  <c:v>46.300000000000004</c:v>
                </c:pt>
                <c:pt idx="232">
                  <c:v>46.500000000000007</c:v>
                </c:pt>
                <c:pt idx="233">
                  <c:v>46.7</c:v>
                </c:pt>
                <c:pt idx="234">
                  <c:v>46.900000000000006</c:v>
                </c:pt>
                <c:pt idx="235">
                  <c:v>47.1</c:v>
                </c:pt>
                <c:pt idx="236">
                  <c:v>47.300000000000004</c:v>
                </c:pt>
                <c:pt idx="237">
                  <c:v>47.500000000000007</c:v>
                </c:pt>
                <c:pt idx="238">
                  <c:v>47.7</c:v>
                </c:pt>
                <c:pt idx="239">
                  <c:v>47.900000000000006</c:v>
                </c:pt>
                <c:pt idx="240">
                  <c:v>48.1</c:v>
                </c:pt>
                <c:pt idx="241">
                  <c:v>48.300000000000004</c:v>
                </c:pt>
                <c:pt idx="242">
                  <c:v>48.500000000000007</c:v>
                </c:pt>
                <c:pt idx="243">
                  <c:v>48.7</c:v>
                </c:pt>
                <c:pt idx="244">
                  <c:v>48.900000000000006</c:v>
                </c:pt>
                <c:pt idx="245">
                  <c:v>49.1</c:v>
                </c:pt>
                <c:pt idx="246">
                  <c:v>49.300000000000004</c:v>
                </c:pt>
                <c:pt idx="247">
                  <c:v>49.500000000000007</c:v>
                </c:pt>
                <c:pt idx="248">
                  <c:v>49.7</c:v>
                </c:pt>
                <c:pt idx="249">
                  <c:v>49.900000000000006</c:v>
                </c:pt>
                <c:pt idx="250">
                  <c:v>50.1</c:v>
                </c:pt>
                <c:pt idx="251">
                  <c:v>50.300000000000004</c:v>
                </c:pt>
                <c:pt idx="252">
                  <c:v>50.500000000000007</c:v>
                </c:pt>
                <c:pt idx="253">
                  <c:v>50.7</c:v>
                </c:pt>
                <c:pt idx="254">
                  <c:v>50.900000000000006</c:v>
                </c:pt>
                <c:pt idx="255">
                  <c:v>51.1</c:v>
                </c:pt>
                <c:pt idx="256">
                  <c:v>51.300000000000004</c:v>
                </c:pt>
                <c:pt idx="257">
                  <c:v>51.500000000000007</c:v>
                </c:pt>
                <c:pt idx="258">
                  <c:v>51.7</c:v>
                </c:pt>
                <c:pt idx="259">
                  <c:v>51.900000000000006</c:v>
                </c:pt>
                <c:pt idx="260">
                  <c:v>52.1</c:v>
                </c:pt>
                <c:pt idx="261">
                  <c:v>52.300000000000004</c:v>
                </c:pt>
                <c:pt idx="262">
                  <c:v>52.500000000000007</c:v>
                </c:pt>
                <c:pt idx="263">
                  <c:v>52.7</c:v>
                </c:pt>
                <c:pt idx="264">
                  <c:v>52.900000000000006</c:v>
                </c:pt>
                <c:pt idx="265">
                  <c:v>53.1</c:v>
                </c:pt>
                <c:pt idx="266">
                  <c:v>53.300000000000004</c:v>
                </c:pt>
                <c:pt idx="267">
                  <c:v>53.500000000000007</c:v>
                </c:pt>
                <c:pt idx="268">
                  <c:v>53.7</c:v>
                </c:pt>
                <c:pt idx="269">
                  <c:v>53.900000000000006</c:v>
                </c:pt>
                <c:pt idx="270">
                  <c:v>54.1</c:v>
                </c:pt>
                <c:pt idx="271">
                  <c:v>54.300000000000004</c:v>
                </c:pt>
                <c:pt idx="272">
                  <c:v>54.500000000000007</c:v>
                </c:pt>
                <c:pt idx="273">
                  <c:v>54.7</c:v>
                </c:pt>
                <c:pt idx="274">
                  <c:v>54.900000000000006</c:v>
                </c:pt>
                <c:pt idx="275">
                  <c:v>55.1</c:v>
                </c:pt>
                <c:pt idx="276">
                  <c:v>55.300000000000004</c:v>
                </c:pt>
                <c:pt idx="277">
                  <c:v>55.500000000000007</c:v>
                </c:pt>
                <c:pt idx="278">
                  <c:v>55.7</c:v>
                </c:pt>
                <c:pt idx="279">
                  <c:v>55.900000000000006</c:v>
                </c:pt>
                <c:pt idx="280">
                  <c:v>56.1</c:v>
                </c:pt>
                <c:pt idx="281">
                  <c:v>56.300000000000004</c:v>
                </c:pt>
                <c:pt idx="282">
                  <c:v>56.500000000000007</c:v>
                </c:pt>
                <c:pt idx="283">
                  <c:v>56.7</c:v>
                </c:pt>
                <c:pt idx="284">
                  <c:v>56.900000000000006</c:v>
                </c:pt>
                <c:pt idx="285">
                  <c:v>57.1</c:v>
                </c:pt>
                <c:pt idx="286">
                  <c:v>57.300000000000004</c:v>
                </c:pt>
                <c:pt idx="287">
                  <c:v>57.500000000000007</c:v>
                </c:pt>
                <c:pt idx="288">
                  <c:v>57.7</c:v>
                </c:pt>
                <c:pt idx="289">
                  <c:v>57.900000000000006</c:v>
                </c:pt>
                <c:pt idx="290">
                  <c:v>58.1</c:v>
                </c:pt>
                <c:pt idx="291">
                  <c:v>58.300000000000004</c:v>
                </c:pt>
                <c:pt idx="292">
                  <c:v>58.500000000000007</c:v>
                </c:pt>
                <c:pt idx="293">
                  <c:v>58.7</c:v>
                </c:pt>
                <c:pt idx="294">
                  <c:v>58.900000000000006</c:v>
                </c:pt>
                <c:pt idx="295">
                  <c:v>59.1</c:v>
                </c:pt>
                <c:pt idx="296">
                  <c:v>59.300000000000004</c:v>
                </c:pt>
                <c:pt idx="297">
                  <c:v>59.500000000000007</c:v>
                </c:pt>
                <c:pt idx="298">
                  <c:v>59.7</c:v>
                </c:pt>
                <c:pt idx="299">
                  <c:v>59.900000000000006</c:v>
                </c:pt>
                <c:pt idx="300">
                  <c:v>60.1</c:v>
                </c:pt>
                <c:pt idx="301">
                  <c:v>60.300000000000004</c:v>
                </c:pt>
                <c:pt idx="302">
                  <c:v>60.500000000000007</c:v>
                </c:pt>
                <c:pt idx="303">
                  <c:v>60.7</c:v>
                </c:pt>
                <c:pt idx="304">
                  <c:v>60.900000000000006</c:v>
                </c:pt>
                <c:pt idx="305">
                  <c:v>61.1</c:v>
                </c:pt>
                <c:pt idx="306">
                  <c:v>61.300000000000004</c:v>
                </c:pt>
                <c:pt idx="307">
                  <c:v>61.500000000000007</c:v>
                </c:pt>
                <c:pt idx="308">
                  <c:v>61.7</c:v>
                </c:pt>
                <c:pt idx="309">
                  <c:v>61.900000000000006</c:v>
                </c:pt>
                <c:pt idx="310">
                  <c:v>62.1</c:v>
                </c:pt>
                <c:pt idx="311">
                  <c:v>62.300000000000004</c:v>
                </c:pt>
                <c:pt idx="312">
                  <c:v>62.500000000000007</c:v>
                </c:pt>
                <c:pt idx="313">
                  <c:v>62.7</c:v>
                </c:pt>
                <c:pt idx="314">
                  <c:v>62.900000000000006</c:v>
                </c:pt>
                <c:pt idx="315">
                  <c:v>63.1</c:v>
                </c:pt>
                <c:pt idx="316">
                  <c:v>63.300000000000004</c:v>
                </c:pt>
                <c:pt idx="317">
                  <c:v>63.500000000000007</c:v>
                </c:pt>
                <c:pt idx="318">
                  <c:v>63.7</c:v>
                </c:pt>
                <c:pt idx="319">
                  <c:v>63.900000000000006</c:v>
                </c:pt>
                <c:pt idx="320">
                  <c:v>64.099999999999994</c:v>
                </c:pt>
                <c:pt idx="321">
                  <c:v>64.3</c:v>
                </c:pt>
                <c:pt idx="322">
                  <c:v>64.5</c:v>
                </c:pt>
                <c:pt idx="323">
                  <c:v>64.7</c:v>
                </c:pt>
                <c:pt idx="324">
                  <c:v>64.899999999999991</c:v>
                </c:pt>
                <c:pt idx="325">
                  <c:v>65.099999999999994</c:v>
                </c:pt>
                <c:pt idx="326">
                  <c:v>65.3</c:v>
                </c:pt>
                <c:pt idx="327">
                  <c:v>65.5</c:v>
                </c:pt>
                <c:pt idx="328">
                  <c:v>65.7</c:v>
                </c:pt>
                <c:pt idx="329">
                  <c:v>65.899999999999991</c:v>
                </c:pt>
                <c:pt idx="330">
                  <c:v>66.099999999999994</c:v>
                </c:pt>
                <c:pt idx="331">
                  <c:v>66.3</c:v>
                </c:pt>
                <c:pt idx="332">
                  <c:v>66.5</c:v>
                </c:pt>
                <c:pt idx="333">
                  <c:v>66.7</c:v>
                </c:pt>
                <c:pt idx="334">
                  <c:v>66.899999999999991</c:v>
                </c:pt>
                <c:pt idx="335">
                  <c:v>67.099999999999994</c:v>
                </c:pt>
                <c:pt idx="336">
                  <c:v>67.3</c:v>
                </c:pt>
                <c:pt idx="337">
                  <c:v>67.5</c:v>
                </c:pt>
                <c:pt idx="338">
                  <c:v>67.7</c:v>
                </c:pt>
                <c:pt idx="339">
                  <c:v>67.899999999999991</c:v>
                </c:pt>
                <c:pt idx="340">
                  <c:v>68.099999999999994</c:v>
                </c:pt>
                <c:pt idx="341">
                  <c:v>68.3</c:v>
                </c:pt>
                <c:pt idx="342">
                  <c:v>68.5</c:v>
                </c:pt>
                <c:pt idx="343">
                  <c:v>68.7</c:v>
                </c:pt>
                <c:pt idx="344">
                  <c:v>68.899999999999991</c:v>
                </c:pt>
                <c:pt idx="345">
                  <c:v>69.099999999999994</c:v>
                </c:pt>
                <c:pt idx="346">
                  <c:v>69.3</c:v>
                </c:pt>
                <c:pt idx="347">
                  <c:v>69.5</c:v>
                </c:pt>
                <c:pt idx="348">
                  <c:v>69.7</c:v>
                </c:pt>
                <c:pt idx="349">
                  <c:v>69.899999999999991</c:v>
                </c:pt>
                <c:pt idx="350">
                  <c:v>70.099999999999994</c:v>
                </c:pt>
                <c:pt idx="351">
                  <c:v>70.3</c:v>
                </c:pt>
                <c:pt idx="352">
                  <c:v>70.5</c:v>
                </c:pt>
                <c:pt idx="353">
                  <c:v>70.7</c:v>
                </c:pt>
                <c:pt idx="354">
                  <c:v>70.899999999999991</c:v>
                </c:pt>
                <c:pt idx="355">
                  <c:v>71.099999999999994</c:v>
                </c:pt>
                <c:pt idx="356">
                  <c:v>71.3</c:v>
                </c:pt>
                <c:pt idx="357">
                  <c:v>71.5</c:v>
                </c:pt>
                <c:pt idx="358">
                  <c:v>71.7</c:v>
                </c:pt>
                <c:pt idx="359">
                  <c:v>71.899999999999991</c:v>
                </c:pt>
                <c:pt idx="360">
                  <c:v>72.099999999999994</c:v>
                </c:pt>
                <c:pt idx="361">
                  <c:v>72.3</c:v>
                </c:pt>
                <c:pt idx="362">
                  <c:v>72.5</c:v>
                </c:pt>
                <c:pt idx="363">
                  <c:v>72.7</c:v>
                </c:pt>
                <c:pt idx="364">
                  <c:v>72.899999999999991</c:v>
                </c:pt>
                <c:pt idx="365">
                  <c:v>73.099999999999994</c:v>
                </c:pt>
                <c:pt idx="366">
                  <c:v>73.3</c:v>
                </c:pt>
                <c:pt idx="367">
                  <c:v>73.5</c:v>
                </c:pt>
                <c:pt idx="368">
                  <c:v>73.7</c:v>
                </c:pt>
                <c:pt idx="369">
                  <c:v>73.899999999999991</c:v>
                </c:pt>
                <c:pt idx="370">
                  <c:v>74.099999999999994</c:v>
                </c:pt>
                <c:pt idx="371">
                  <c:v>74.3</c:v>
                </c:pt>
                <c:pt idx="372">
                  <c:v>74.5</c:v>
                </c:pt>
                <c:pt idx="373">
                  <c:v>74.7</c:v>
                </c:pt>
                <c:pt idx="374">
                  <c:v>74.899999999999991</c:v>
                </c:pt>
                <c:pt idx="375">
                  <c:v>75.099999999999994</c:v>
                </c:pt>
                <c:pt idx="376">
                  <c:v>75.3</c:v>
                </c:pt>
                <c:pt idx="377">
                  <c:v>75.5</c:v>
                </c:pt>
                <c:pt idx="378">
                  <c:v>75.7</c:v>
                </c:pt>
                <c:pt idx="379">
                  <c:v>75.899999999999991</c:v>
                </c:pt>
                <c:pt idx="380">
                  <c:v>76.099999999999994</c:v>
                </c:pt>
                <c:pt idx="381">
                  <c:v>76.3</c:v>
                </c:pt>
                <c:pt idx="382">
                  <c:v>76.5</c:v>
                </c:pt>
                <c:pt idx="383">
                  <c:v>76.7</c:v>
                </c:pt>
                <c:pt idx="384">
                  <c:v>76.900000000000006</c:v>
                </c:pt>
                <c:pt idx="385">
                  <c:v>77.099999999999994</c:v>
                </c:pt>
                <c:pt idx="386">
                  <c:v>77.3</c:v>
                </c:pt>
                <c:pt idx="387">
                  <c:v>77.5</c:v>
                </c:pt>
                <c:pt idx="388">
                  <c:v>77.7</c:v>
                </c:pt>
                <c:pt idx="389">
                  <c:v>77.900000000000006</c:v>
                </c:pt>
                <c:pt idx="390">
                  <c:v>78.099999999999994</c:v>
                </c:pt>
                <c:pt idx="391">
                  <c:v>78.3</c:v>
                </c:pt>
                <c:pt idx="392">
                  <c:v>78.5</c:v>
                </c:pt>
                <c:pt idx="393">
                  <c:v>78.7</c:v>
                </c:pt>
                <c:pt idx="394">
                  <c:v>78.900000000000006</c:v>
                </c:pt>
                <c:pt idx="395">
                  <c:v>79.099999999999994</c:v>
                </c:pt>
                <c:pt idx="396">
                  <c:v>79.3</c:v>
                </c:pt>
                <c:pt idx="397">
                  <c:v>79.5</c:v>
                </c:pt>
                <c:pt idx="398">
                  <c:v>79.7</c:v>
                </c:pt>
                <c:pt idx="399">
                  <c:v>79.900000000000006</c:v>
                </c:pt>
                <c:pt idx="400">
                  <c:v>80.099999999999994</c:v>
                </c:pt>
                <c:pt idx="401">
                  <c:v>80.3</c:v>
                </c:pt>
                <c:pt idx="402">
                  <c:v>80.5</c:v>
                </c:pt>
                <c:pt idx="403">
                  <c:v>80.7</c:v>
                </c:pt>
                <c:pt idx="404">
                  <c:v>80.900000000000006</c:v>
                </c:pt>
                <c:pt idx="405">
                  <c:v>81.099999999999994</c:v>
                </c:pt>
                <c:pt idx="406">
                  <c:v>81.3</c:v>
                </c:pt>
                <c:pt idx="407">
                  <c:v>81.5</c:v>
                </c:pt>
                <c:pt idx="408">
                  <c:v>81.7</c:v>
                </c:pt>
                <c:pt idx="409">
                  <c:v>81.900000000000006</c:v>
                </c:pt>
                <c:pt idx="410">
                  <c:v>82.1</c:v>
                </c:pt>
                <c:pt idx="411">
                  <c:v>82.3</c:v>
                </c:pt>
                <c:pt idx="412">
                  <c:v>82.5</c:v>
                </c:pt>
                <c:pt idx="413">
                  <c:v>82.7</c:v>
                </c:pt>
                <c:pt idx="414">
                  <c:v>82.9</c:v>
                </c:pt>
                <c:pt idx="415">
                  <c:v>83.1</c:v>
                </c:pt>
                <c:pt idx="416">
                  <c:v>83.3</c:v>
                </c:pt>
                <c:pt idx="417">
                  <c:v>83.5</c:v>
                </c:pt>
                <c:pt idx="418">
                  <c:v>83.7</c:v>
                </c:pt>
                <c:pt idx="419">
                  <c:v>83.9</c:v>
                </c:pt>
                <c:pt idx="420">
                  <c:v>84.1</c:v>
                </c:pt>
                <c:pt idx="421">
                  <c:v>84.3</c:v>
                </c:pt>
                <c:pt idx="422">
                  <c:v>84.5</c:v>
                </c:pt>
                <c:pt idx="423">
                  <c:v>84.7</c:v>
                </c:pt>
                <c:pt idx="424">
                  <c:v>84.9</c:v>
                </c:pt>
                <c:pt idx="425">
                  <c:v>85.1</c:v>
                </c:pt>
                <c:pt idx="426">
                  <c:v>85.3</c:v>
                </c:pt>
                <c:pt idx="427">
                  <c:v>85.5</c:v>
                </c:pt>
                <c:pt idx="428">
                  <c:v>85.7</c:v>
                </c:pt>
                <c:pt idx="429">
                  <c:v>85.9</c:v>
                </c:pt>
                <c:pt idx="430">
                  <c:v>86.1</c:v>
                </c:pt>
                <c:pt idx="431">
                  <c:v>86.3</c:v>
                </c:pt>
                <c:pt idx="432">
                  <c:v>86.5</c:v>
                </c:pt>
                <c:pt idx="433">
                  <c:v>86.7</c:v>
                </c:pt>
                <c:pt idx="434">
                  <c:v>86.9</c:v>
                </c:pt>
                <c:pt idx="435">
                  <c:v>87.1</c:v>
                </c:pt>
                <c:pt idx="436">
                  <c:v>87.3</c:v>
                </c:pt>
                <c:pt idx="437">
                  <c:v>87.5</c:v>
                </c:pt>
                <c:pt idx="438">
                  <c:v>87.7</c:v>
                </c:pt>
                <c:pt idx="439">
                  <c:v>87.9</c:v>
                </c:pt>
                <c:pt idx="440">
                  <c:v>88.1</c:v>
                </c:pt>
                <c:pt idx="441">
                  <c:v>88.3</c:v>
                </c:pt>
                <c:pt idx="442">
                  <c:v>88.5</c:v>
                </c:pt>
                <c:pt idx="443">
                  <c:v>88.7</c:v>
                </c:pt>
                <c:pt idx="444">
                  <c:v>88.9</c:v>
                </c:pt>
                <c:pt idx="445">
                  <c:v>89.1</c:v>
                </c:pt>
                <c:pt idx="446">
                  <c:v>89.3</c:v>
                </c:pt>
                <c:pt idx="447">
                  <c:v>89.5</c:v>
                </c:pt>
                <c:pt idx="448">
                  <c:v>89.7</c:v>
                </c:pt>
                <c:pt idx="449">
                  <c:v>89.9</c:v>
                </c:pt>
                <c:pt idx="450">
                  <c:v>90.1</c:v>
                </c:pt>
                <c:pt idx="451">
                  <c:v>90.3</c:v>
                </c:pt>
                <c:pt idx="452">
                  <c:v>90.5</c:v>
                </c:pt>
                <c:pt idx="453">
                  <c:v>90.7</c:v>
                </c:pt>
                <c:pt idx="454">
                  <c:v>90.9</c:v>
                </c:pt>
                <c:pt idx="455">
                  <c:v>91.1</c:v>
                </c:pt>
                <c:pt idx="456">
                  <c:v>91.3</c:v>
                </c:pt>
                <c:pt idx="457">
                  <c:v>91.5</c:v>
                </c:pt>
                <c:pt idx="458">
                  <c:v>91.7</c:v>
                </c:pt>
                <c:pt idx="459">
                  <c:v>91.9</c:v>
                </c:pt>
                <c:pt idx="460">
                  <c:v>92.1</c:v>
                </c:pt>
                <c:pt idx="461">
                  <c:v>92.3</c:v>
                </c:pt>
                <c:pt idx="462">
                  <c:v>92.5</c:v>
                </c:pt>
                <c:pt idx="463">
                  <c:v>92.7</c:v>
                </c:pt>
                <c:pt idx="464">
                  <c:v>92.9</c:v>
                </c:pt>
                <c:pt idx="465">
                  <c:v>93.1</c:v>
                </c:pt>
                <c:pt idx="466">
                  <c:v>93.3</c:v>
                </c:pt>
                <c:pt idx="467">
                  <c:v>93.5</c:v>
                </c:pt>
                <c:pt idx="468">
                  <c:v>93.7</c:v>
                </c:pt>
                <c:pt idx="469">
                  <c:v>93.9</c:v>
                </c:pt>
                <c:pt idx="470">
                  <c:v>94.1</c:v>
                </c:pt>
                <c:pt idx="471">
                  <c:v>94.3</c:v>
                </c:pt>
                <c:pt idx="472">
                  <c:v>94.5</c:v>
                </c:pt>
                <c:pt idx="473">
                  <c:v>94.7</c:v>
                </c:pt>
                <c:pt idx="474">
                  <c:v>94.9</c:v>
                </c:pt>
                <c:pt idx="475">
                  <c:v>95.1</c:v>
                </c:pt>
                <c:pt idx="476">
                  <c:v>95.3</c:v>
                </c:pt>
                <c:pt idx="477">
                  <c:v>95.5</c:v>
                </c:pt>
                <c:pt idx="478">
                  <c:v>95.7</c:v>
                </c:pt>
                <c:pt idx="479">
                  <c:v>95.9</c:v>
                </c:pt>
                <c:pt idx="480">
                  <c:v>96.1</c:v>
                </c:pt>
                <c:pt idx="481">
                  <c:v>96.3</c:v>
                </c:pt>
                <c:pt idx="482">
                  <c:v>96.5</c:v>
                </c:pt>
                <c:pt idx="483">
                  <c:v>96.7</c:v>
                </c:pt>
                <c:pt idx="484">
                  <c:v>96.9</c:v>
                </c:pt>
                <c:pt idx="485">
                  <c:v>97.1</c:v>
                </c:pt>
                <c:pt idx="486">
                  <c:v>97.3</c:v>
                </c:pt>
                <c:pt idx="487">
                  <c:v>97.5</c:v>
                </c:pt>
                <c:pt idx="488">
                  <c:v>97.7</c:v>
                </c:pt>
                <c:pt idx="489">
                  <c:v>97.9</c:v>
                </c:pt>
                <c:pt idx="490">
                  <c:v>98.1</c:v>
                </c:pt>
                <c:pt idx="491">
                  <c:v>98.3</c:v>
                </c:pt>
                <c:pt idx="492">
                  <c:v>98.5</c:v>
                </c:pt>
                <c:pt idx="493">
                  <c:v>98.7</c:v>
                </c:pt>
                <c:pt idx="494">
                  <c:v>98.9</c:v>
                </c:pt>
                <c:pt idx="495">
                  <c:v>99.1</c:v>
                </c:pt>
                <c:pt idx="496">
                  <c:v>99.3</c:v>
                </c:pt>
                <c:pt idx="497">
                  <c:v>99.5</c:v>
                </c:pt>
                <c:pt idx="498">
                  <c:v>99.7</c:v>
                </c:pt>
                <c:pt idx="499">
                  <c:v>99.9</c:v>
                </c:pt>
              </c:numCache>
            </c:numRef>
          </c:xVal>
          <c:yVal>
            <c:numRef>
              <c:f>Regression!$L$50:$L$549</c:f>
              <c:numCache>
                <c:formatCode>General</c:formatCode>
                <c:ptCount val="500"/>
                <c:pt idx="0">
                  <c:v>3</c:v>
                </c:pt>
                <c:pt idx="1">
                  <c:v>3</c:v>
                </c:pt>
                <c:pt idx="2">
                  <c:v>3</c:v>
                </c:pt>
                <c:pt idx="3">
                  <c:v>3</c:v>
                </c:pt>
                <c:pt idx="4">
                  <c:v>3</c:v>
                </c:pt>
                <c:pt idx="5">
                  <c:v>3</c:v>
                </c:pt>
                <c:pt idx="6">
                  <c:v>3</c:v>
                </c:pt>
                <c:pt idx="7">
                  <c:v>3</c:v>
                </c:pt>
                <c:pt idx="8">
                  <c:v>3</c:v>
                </c:pt>
                <c:pt idx="9">
                  <c:v>3</c:v>
                </c:pt>
                <c:pt idx="10">
                  <c:v>3</c:v>
                </c:pt>
                <c:pt idx="11">
                  <c:v>3</c:v>
                </c:pt>
                <c:pt idx="12">
                  <c:v>3</c:v>
                </c:pt>
                <c:pt idx="13">
                  <c:v>3</c:v>
                </c:pt>
                <c:pt idx="14">
                  <c:v>3</c:v>
                </c:pt>
                <c:pt idx="15">
                  <c:v>3</c:v>
                </c:pt>
                <c:pt idx="16">
                  <c:v>3</c:v>
                </c:pt>
                <c:pt idx="17">
                  <c:v>3</c:v>
                </c:pt>
                <c:pt idx="18">
                  <c:v>3</c:v>
                </c:pt>
                <c:pt idx="19">
                  <c:v>3</c:v>
                </c:pt>
                <c:pt idx="20">
                  <c:v>3</c:v>
                </c:pt>
                <c:pt idx="21">
                  <c:v>3</c:v>
                </c:pt>
                <c:pt idx="22">
                  <c:v>3</c:v>
                </c:pt>
                <c:pt idx="23">
                  <c:v>3</c:v>
                </c:pt>
                <c:pt idx="24">
                  <c:v>3</c:v>
                </c:pt>
                <c:pt idx="25">
                  <c:v>3</c:v>
                </c:pt>
                <c:pt idx="26">
                  <c:v>3</c:v>
                </c:pt>
                <c:pt idx="27">
                  <c:v>3</c:v>
                </c:pt>
                <c:pt idx="28">
                  <c:v>3</c:v>
                </c:pt>
                <c:pt idx="29">
                  <c:v>3</c:v>
                </c:pt>
                <c:pt idx="30">
                  <c:v>3</c:v>
                </c:pt>
                <c:pt idx="31">
                  <c:v>3</c:v>
                </c:pt>
                <c:pt idx="32">
                  <c:v>3</c:v>
                </c:pt>
                <c:pt idx="33">
                  <c:v>3</c:v>
                </c:pt>
                <c:pt idx="34">
                  <c:v>3</c:v>
                </c:pt>
                <c:pt idx="35">
                  <c:v>3</c:v>
                </c:pt>
                <c:pt idx="36">
                  <c:v>3</c:v>
                </c:pt>
                <c:pt idx="37">
                  <c:v>3</c:v>
                </c:pt>
                <c:pt idx="38">
                  <c:v>3</c:v>
                </c:pt>
                <c:pt idx="39">
                  <c:v>3</c:v>
                </c:pt>
                <c:pt idx="40">
                  <c:v>3</c:v>
                </c:pt>
                <c:pt idx="41">
                  <c:v>3</c:v>
                </c:pt>
                <c:pt idx="42">
                  <c:v>3</c:v>
                </c:pt>
                <c:pt idx="43">
                  <c:v>4</c:v>
                </c:pt>
                <c:pt idx="44">
                  <c:v>4</c:v>
                </c:pt>
                <c:pt idx="45">
                  <c:v>4</c:v>
                </c:pt>
                <c:pt idx="46">
                  <c:v>4</c:v>
                </c:pt>
                <c:pt idx="47">
                  <c:v>4</c:v>
                </c:pt>
                <c:pt idx="48">
                  <c:v>4</c:v>
                </c:pt>
                <c:pt idx="49">
                  <c:v>4</c:v>
                </c:pt>
                <c:pt idx="50">
                  <c:v>4</c:v>
                </c:pt>
                <c:pt idx="51">
                  <c:v>4</c:v>
                </c:pt>
                <c:pt idx="52">
                  <c:v>4</c:v>
                </c:pt>
                <c:pt idx="53">
                  <c:v>4</c:v>
                </c:pt>
                <c:pt idx="54">
                  <c:v>4</c:v>
                </c:pt>
                <c:pt idx="55">
                  <c:v>4</c:v>
                </c:pt>
                <c:pt idx="56">
                  <c:v>4</c:v>
                </c:pt>
                <c:pt idx="57">
                  <c:v>4</c:v>
                </c:pt>
                <c:pt idx="58">
                  <c:v>4</c:v>
                </c:pt>
                <c:pt idx="59">
                  <c:v>4</c:v>
                </c:pt>
                <c:pt idx="60">
                  <c:v>4</c:v>
                </c:pt>
                <c:pt idx="61">
                  <c:v>4</c:v>
                </c:pt>
                <c:pt idx="62">
                  <c:v>4</c:v>
                </c:pt>
                <c:pt idx="63">
                  <c:v>4</c:v>
                </c:pt>
                <c:pt idx="64">
                  <c:v>4</c:v>
                </c:pt>
                <c:pt idx="65">
                  <c:v>4</c:v>
                </c:pt>
                <c:pt idx="66">
                  <c:v>4</c:v>
                </c:pt>
                <c:pt idx="67">
                  <c:v>4</c:v>
                </c:pt>
                <c:pt idx="68">
                  <c:v>4</c:v>
                </c:pt>
                <c:pt idx="69">
                  <c:v>4</c:v>
                </c:pt>
                <c:pt idx="70">
                  <c:v>4</c:v>
                </c:pt>
                <c:pt idx="71">
                  <c:v>4</c:v>
                </c:pt>
                <c:pt idx="72">
                  <c:v>4</c:v>
                </c:pt>
                <c:pt idx="73">
                  <c:v>4</c:v>
                </c:pt>
                <c:pt idx="74">
                  <c:v>4</c:v>
                </c:pt>
                <c:pt idx="75">
                  <c:v>4</c:v>
                </c:pt>
                <c:pt idx="76">
                  <c:v>4</c:v>
                </c:pt>
                <c:pt idx="77">
                  <c:v>4</c:v>
                </c:pt>
                <c:pt idx="78">
                  <c:v>4</c:v>
                </c:pt>
                <c:pt idx="79">
                  <c:v>4</c:v>
                </c:pt>
                <c:pt idx="80">
                  <c:v>4</c:v>
                </c:pt>
                <c:pt idx="81">
                  <c:v>4</c:v>
                </c:pt>
                <c:pt idx="82">
                  <c:v>4</c:v>
                </c:pt>
                <c:pt idx="83">
                  <c:v>4</c:v>
                </c:pt>
                <c:pt idx="84">
                  <c:v>4</c:v>
                </c:pt>
                <c:pt idx="85">
                  <c:v>4</c:v>
                </c:pt>
                <c:pt idx="86">
                  <c:v>4</c:v>
                </c:pt>
                <c:pt idx="87">
                  <c:v>4</c:v>
                </c:pt>
                <c:pt idx="88">
                  <c:v>4</c:v>
                </c:pt>
                <c:pt idx="89">
                  <c:v>4</c:v>
                </c:pt>
                <c:pt idx="90">
                  <c:v>4</c:v>
                </c:pt>
                <c:pt idx="91">
                  <c:v>4</c:v>
                </c:pt>
                <c:pt idx="92">
                  <c:v>4</c:v>
                </c:pt>
                <c:pt idx="93">
                  <c:v>4</c:v>
                </c:pt>
                <c:pt idx="94">
                  <c:v>4</c:v>
                </c:pt>
                <c:pt idx="95">
                  <c:v>4</c:v>
                </c:pt>
                <c:pt idx="96">
                  <c:v>4</c:v>
                </c:pt>
                <c:pt idx="97">
                  <c:v>4</c:v>
                </c:pt>
                <c:pt idx="98">
                  <c:v>4</c:v>
                </c:pt>
                <c:pt idx="99">
                  <c:v>4</c:v>
                </c:pt>
                <c:pt idx="100">
                  <c:v>4</c:v>
                </c:pt>
                <c:pt idx="101">
                  <c:v>4</c:v>
                </c:pt>
                <c:pt idx="102">
                  <c:v>4</c:v>
                </c:pt>
                <c:pt idx="103">
                  <c:v>4</c:v>
                </c:pt>
                <c:pt idx="104">
                  <c:v>4</c:v>
                </c:pt>
                <c:pt idx="105">
                  <c:v>4</c:v>
                </c:pt>
                <c:pt idx="106">
                  <c:v>4</c:v>
                </c:pt>
                <c:pt idx="107">
                  <c:v>4</c:v>
                </c:pt>
                <c:pt idx="108">
                  <c:v>4</c:v>
                </c:pt>
                <c:pt idx="109">
                  <c:v>4</c:v>
                </c:pt>
                <c:pt idx="110">
                  <c:v>4</c:v>
                </c:pt>
                <c:pt idx="111">
                  <c:v>4</c:v>
                </c:pt>
                <c:pt idx="112">
                  <c:v>4</c:v>
                </c:pt>
                <c:pt idx="113">
                  <c:v>4</c:v>
                </c:pt>
                <c:pt idx="114">
                  <c:v>4</c:v>
                </c:pt>
                <c:pt idx="115">
                  <c:v>4</c:v>
                </c:pt>
                <c:pt idx="116">
                  <c:v>4</c:v>
                </c:pt>
                <c:pt idx="117">
                  <c:v>4</c:v>
                </c:pt>
                <c:pt idx="118">
                  <c:v>4</c:v>
                </c:pt>
                <c:pt idx="119">
                  <c:v>4</c:v>
                </c:pt>
                <c:pt idx="120">
                  <c:v>4</c:v>
                </c:pt>
                <c:pt idx="121">
                  <c:v>4</c:v>
                </c:pt>
                <c:pt idx="122">
                  <c:v>4</c:v>
                </c:pt>
                <c:pt idx="123">
                  <c:v>4</c:v>
                </c:pt>
                <c:pt idx="124">
                  <c:v>4</c:v>
                </c:pt>
                <c:pt idx="125">
                  <c:v>4</c:v>
                </c:pt>
                <c:pt idx="126">
                  <c:v>4</c:v>
                </c:pt>
                <c:pt idx="127">
                  <c:v>4</c:v>
                </c:pt>
                <c:pt idx="128">
                  <c:v>4</c:v>
                </c:pt>
                <c:pt idx="129">
                  <c:v>4</c:v>
                </c:pt>
                <c:pt idx="130">
                  <c:v>4</c:v>
                </c:pt>
                <c:pt idx="131">
                  <c:v>4</c:v>
                </c:pt>
                <c:pt idx="132">
                  <c:v>4</c:v>
                </c:pt>
                <c:pt idx="133">
                  <c:v>4</c:v>
                </c:pt>
                <c:pt idx="134">
                  <c:v>4</c:v>
                </c:pt>
                <c:pt idx="135">
                  <c:v>4</c:v>
                </c:pt>
                <c:pt idx="136">
                  <c:v>4</c:v>
                </c:pt>
                <c:pt idx="137">
                  <c:v>4</c:v>
                </c:pt>
                <c:pt idx="138">
                  <c:v>4</c:v>
                </c:pt>
                <c:pt idx="139">
                  <c:v>4</c:v>
                </c:pt>
                <c:pt idx="140">
                  <c:v>4</c:v>
                </c:pt>
                <c:pt idx="141">
                  <c:v>4</c:v>
                </c:pt>
                <c:pt idx="142">
                  <c:v>4</c:v>
                </c:pt>
                <c:pt idx="143">
                  <c:v>4</c:v>
                </c:pt>
                <c:pt idx="144">
                  <c:v>5</c:v>
                </c:pt>
                <c:pt idx="145">
                  <c:v>5</c:v>
                </c:pt>
                <c:pt idx="146">
                  <c:v>5</c:v>
                </c:pt>
                <c:pt idx="147">
                  <c:v>5</c:v>
                </c:pt>
                <c:pt idx="148">
                  <c:v>5</c:v>
                </c:pt>
                <c:pt idx="149">
                  <c:v>5</c:v>
                </c:pt>
                <c:pt idx="150">
                  <c:v>5</c:v>
                </c:pt>
                <c:pt idx="151">
                  <c:v>5</c:v>
                </c:pt>
                <c:pt idx="152">
                  <c:v>5</c:v>
                </c:pt>
                <c:pt idx="153">
                  <c:v>5</c:v>
                </c:pt>
                <c:pt idx="154">
                  <c:v>5</c:v>
                </c:pt>
                <c:pt idx="155">
                  <c:v>5</c:v>
                </c:pt>
                <c:pt idx="156">
                  <c:v>5</c:v>
                </c:pt>
                <c:pt idx="157">
                  <c:v>5</c:v>
                </c:pt>
                <c:pt idx="158">
                  <c:v>5</c:v>
                </c:pt>
                <c:pt idx="159">
                  <c:v>5</c:v>
                </c:pt>
                <c:pt idx="160">
                  <c:v>5</c:v>
                </c:pt>
                <c:pt idx="161">
                  <c:v>5</c:v>
                </c:pt>
                <c:pt idx="162">
                  <c:v>5</c:v>
                </c:pt>
                <c:pt idx="163">
                  <c:v>5</c:v>
                </c:pt>
                <c:pt idx="164">
                  <c:v>5</c:v>
                </c:pt>
                <c:pt idx="165">
                  <c:v>5</c:v>
                </c:pt>
                <c:pt idx="166">
                  <c:v>5</c:v>
                </c:pt>
                <c:pt idx="167">
                  <c:v>5</c:v>
                </c:pt>
                <c:pt idx="168">
                  <c:v>5</c:v>
                </c:pt>
                <c:pt idx="169">
                  <c:v>5</c:v>
                </c:pt>
                <c:pt idx="170">
                  <c:v>5</c:v>
                </c:pt>
                <c:pt idx="171">
                  <c:v>5</c:v>
                </c:pt>
                <c:pt idx="172">
                  <c:v>5</c:v>
                </c:pt>
                <c:pt idx="173">
                  <c:v>5</c:v>
                </c:pt>
                <c:pt idx="174">
                  <c:v>5</c:v>
                </c:pt>
                <c:pt idx="175">
                  <c:v>5</c:v>
                </c:pt>
                <c:pt idx="176">
                  <c:v>5</c:v>
                </c:pt>
                <c:pt idx="177">
                  <c:v>5</c:v>
                </c:pt>
                <c:pt idx="178">
                  <c:v>5</c:v>
                </c:pt>
                <c:pt idx="179">
                  <c:v>5</c:v>
                </c:pt>
                <c:pt idx="180">
                  <c:v>5</c:v>
                </c:pt>
                <c:pt idx="181">
                  <c:v>5</c:v>
                </c:pt>
                <c:pt idx="182">
                  <c:v>5</c:v>
                </c:pt>
                <c:pt idx="183">
                  <c:v>5</c:v>
                </c:pt>
                <c:pt idx="184">
                  <c:v>5</c:v>
                </c:pt>
                <c:pt idx="185">
                  <c:v>5</c:v>
                </c:pt>
                <c:pt idx="186">
                  <c:v>5</c:v>
                </c:pt>
                <c:pt idx="187">
                  <c:v>5</c:v>
                </c:pt>
                <c:pt idx="188">
                  <c:v>5</c:v>
                </c:pt>
                <c:pt idx="189">
                  <c:v>5</c:v>
                </c:pt>
                <c:pt idx="190">
                  <c:v>5</c:v>
                </c:pt>
                <c:pt idx="191">
                  <c:v>5</c:v>
                </c:pt>
                <c:pt idx="192">
                  <c:v>5</c:v>
                </c:pt>
                <c:pt idx="193">
                  <c:v>5</c:v>
                </c:pt>
                <c:pt idx="194">
                  <c:v>5</c:v>
                </c:pt>
                <c:pt idx="195">
                  <c:v>5</c:v>
                </c:pt>
                <c:pt idx="196">
                  <c:v>5</c:v>
                </c:pt>
                <c:pt idx="197">
                  <c:v>5</c:v>
                </c:pt>
                <c:pt idx="198">
                  <c:v>5</c:v>
                </c:pt>
                <c:pt idx="199">
                  <c:v>5</c:v>
                </c:pt>
                <c:pt idx="200">
                  <c:v>5</c:v>
                </c:pt>
                <c:pt idx="201">
                  <c:v>5</c:v>
                </c:pt>
                <c:pt idx="202">
                  <c:v>5</c:v>
                </c:pt>
                <c:pt idx="203">
                  <c:v>5</c:v>
                </c:pt>
                <c:pt idx="204">
                  <c:v>5</c:v>
                </c:pt>
                <c:pt idx="205">
                  <c:v>5</c:v>
                </c:pt>
                <c:pt idx="206">
                  <c:v>5</c:v>
                </c:pt>
                <c:pt idx="207">
                  <c:v>5</c:v>
                </c:pt>
                <c:pt idx="208">
                  <c:v>5</c:v>
                </c:pt>
                <c:pt idx="209">
                  <c:v>5</c:v>
                </c:pt>
                <c:pt idx="210">
                  <c:v>5</c:v>
                </c:pt>
                <c:pt idx="211">
                  <c:v>5</c:v>
                </c:pt>
                <c:pt idx="212">
                  <c:v>5</c:v>
                </c:pt>
                <c:pt idx="213">
                  <c:v>5</c:v>
                </c:pt>
                <c:pt idx="214">
                  <c:v>5</c:v>
                </c:pt>
                <c:pt idx="215">
                  <c:v>5</c:v>
                </c:pt>
                <c:pt idx="216">
                  <c:v>5</c:v>
                </c:pt>
                <c:pt idx="217">
                  <c:v>5</c:v>
                </c:pt>
                <c:pt idx="218">
                  <c:v>5</c:v>
                </c:pt>
                <c:pt idx="219">
                  <c:v>5</c:v>
                </c:pt>
                <c:pt idx="220">
                  <c:v>5</c:v>
                </c:pt>
                <c:pt idx="221">
                  <c:v>5</c:v>
                </c:pt>
                <c:pt idx="222">
                  <c:v>5</c:v>
                </c:pt>
                <c:pt idx="223">
                  <c:v>5</c:v>
                </c:pt>
                <c:pt idx="224">
                  <c:v>5</c:v>
                </c:pt>
                <c:pt idx="225">
                  <c:v>5</c:v>
                </c:pt>
                <c:pt idx="226">
                  <c:v>5</c:v>
                </c:pt>
                <c:pt idx="227">
                  <c:v>5</c:v>
                </c:pt>
                <c:pt idx="228">
                  <c:v>5</c:v>
                </c:pt>
                <c:pt idx="229">
                  <c:v>5</c:v>
                </c:pt>
                <c:pt idx="230">
                  <c:v>5</c:v>
                </c:pt>
                <c:pt idx="231">
                  <c:v>5</c:v>
                </c:pt>
                <c:pt idx="232">
                  <c:v>5</c:v>
                </c:pt>
                <c:pt idx="233">
                  <c:v>5</c:v>
                </c:pt>
                <c:pt idx="234">
                  <c:v>5</c:v>
                </c:pt>
                <c:pt idx="235">
                  <c:v>5</c:v>
                </c:pt>
                <c:pt idx="236">
                  <c:v>5</c:v>
                </c:pt>
                <c:pt idx="237">
                  <c:v>5</c:v>
                </c:pt>
                <c:pt idx="238">
                  <c:v>5</c:v>
                </c:pt>
                <c:pt idx="239">
                  <c:v>5</c:v>
                </c:pt>
                <c:pt idx="240">
                  <c:v>5</c:v>
                </c:pt>
                <c:pt idx="241">
                  <c:v>5</c:v>
                </c:pt>
                <c:pt idx="242">
                  <c:v>5</c:v>
                </c:pt>
                <c:pt idx="243">
                  <c:v>5</c:v>
                </c:pt>
                <c:pt idx="244">
                  <c:v>5</c:v>
                </c:pt>
                <c:pt idx="245">
                  <c:v>5</c:v>
                </c:pt>
                <c:pt idx="246">
                  <c:v>5</c:v>
                </c:pt>
                <c:pt idx="247">
                  <c:v>5</c:v>
                </c:pt>
                <c:pt idx="248">
                  <c:v>5</c:v>
                </c:pt>
                <c:pt idx="249">
                  <c:v>5</c:v>
                </c:pt>
                <c:pt idx="250">
                  <c:v>5</c:v>
                </c:pt>
                <c:pt idx="251">
                  <c:v>5</c:v>
                </c:pt>
                <c:pt idx="252">
                  <c:v>5</c:v>
                </c:pt>
                <c:pt idx="253">
                  <c:v>5</c:v>
                </c:pt>
                <c:pt idx="254">
                  <c:v>5</c:v>
                </c:pt>
                <c:pt idx="255">
                  <c:v>5</c:v>
                </c:pt>
                <c:pt idx="256">
                  <c:v>5</c:v>
                </c:pt>
                <c:pt idx="257">
                  <c:v>5</c:v>
                </c:pt>
                <c:pt idx="258">
                  <c:v>5</c:v>
                </c:pt>
                <c:pt idx="259">
                  <c:v>5</c:v>
                </c:pt>
                <c:pt idx="260">
                  <c:v>5</c:v>
                </c:pt>
                <c:pt idx="261">
                  <c:v>5</c:v>
                </c:pt>
                <c:pt idx="262">
                  <c:v>5</c:v>
                </c:pt>
                <c:pt idx="263">
                  <c:v>5</c:v>
                </c:pt>
                <c:pt idx="264">
                  <c:v>5</c:v>
                </c:pt>
                <c:pt idx="265">
                  <c:v>5</c:v>
                </c:pt>
                <c:pt idx="266">
                  <c:v>5</c:v>
                </c:pt>
                <c:pt idx="267">
                  <c:v>5</c:v>
                </c:pt>
                <c:pt idx="268">
                  <c:v>5</c:v>
                </c:pt>
                <c:pt idx="269">
                  <c:v>5</c:v>
                </c:pt>
                <c:pt idx="270">
                  <c:v>5</c:v>
                </c:pt>
                <c:pt idx="271">
                  <c:v>5</c:v>
                </c:pt>
                <c:pt idx="272">
                  <c:v>6</c:v>
                </c:pt>
                <c:pt idx="273">
                  <c:v>6</c:v>
                </c:pt>
                <c:pt idx="274">
                  <c:v>6</c:v>
                </c:pt>
                <c:pt idx="275">
                  <c:v>6</c:v>
                </c:pt>
                <c:pt idx="276">
                  <c:v>6</c:v>
                </c:pt>
                <c:pt idx="277">
                  <c:v>6</c:v>
                </c:pt>
                <c:pt idx="278">
                  <c:v>6</c:v>
                </c:pt>
                <c:pt idx="279">
                  <c:v>6</c:v>
                </c:pt>
                <c:pt idx="280">
                  <c:v>6</c:v>
                </c:pt>
                <c:pt idx="281">
                  <c:v>6</c:v>
                </c:pt>
                <c:pt idx="282">
                  <c:v>6</c:v>
                </c:pt>
                <c:pt idx="283">
                  <c:v>6</c:v>
                </c:pt>
                <c:pt idx="284">
                  <c:v>6</c:v>
                </c:pt>
                <c:pt idx="285">
                  <c:v>6</c:v>
                </c:pt>
                <c:pt idx="286">
                  <c:v>6</c:v>
                </c:pt>
                <c:pt idx="287">
                  <c:v>6</c:v>
                </c:pt>
                <c:pt idx="288">
                  <c:v>6</c:v>
                </c:pt>
                <c:pt idx="289">
                  <c:v>6</c:v>
                </c:pt>
                <c:pt idx="290">
                  <c:v>6</c:v>
                </c:pt>
                <c:pt idx="291">
                  <c:v>6</c:v>
                </c:pt>
                <c:pt idx="292">
                  <c:v>6</c:v>
                </c:pt>
                <c:pt idx="293">
                  <c:v>6</c:v>
                </c:pt>
                <c:pt idx="294">
                  <c:v>6</c:v>
                </c:pt>
                <c:pt idx="295">
                  <c:v>6</c:v>
                </c:pt>
                <c:pt idx="296">
                  <c:v>6</c:v>
                </c:pt>
                <c:pt idx="297">
                  <c:v>6</c:v>
                </c:pt>
                <c:pt idx="298">
                  <c:v>6</c:v>
                </c:pt>
                <c:pt idx="299">
                  <c:v>6</c:v>
                </c:pt>
                <c:pt idx="300">
                  <c:v>6</c:v>
                </c:pt>
                <c:pt idx="301">
                  <c:v>6</c:v>
                </c:pt>
                <c:pt idx="302">
                  <c:v>6</c:v>
                </c:pt>
                <c:pt idx="303">
                  <c:v>6</c:v>
                </c:pt>
                <c:pt idx="304">
                  <c:v>6</c:v>
                </c:pt>
                <c:pt idx="305">
                  <c:v>6</c:v>
                </c:pt>
                <c:pt idx="306">
                  <c:v>6</c:v>
                </c:pt>
                <c:pt idx="307">
                  <c:v>6</c:v>
                </c:pt>
                <c:pt idx="308">
                  <c:v>6</c:v>
                </c:pt>
                <c:pt idx="309">
                  <c:v>6</c:v>
                </c:pt>
                <c:pt idx="310">
                  <c:v>6</c:v>
                </c:pt>
                <c:pt idx="311">
                  <c:v>6</c:v>
                </c:pt>
                <c:pt idx="312">
                  <c:v>6</c:v>
                </c:pt>
                <c:pt idx="313">
                  <c:v>6</c:v>
                </c:pt>
                <c:pt idx="314">
                  <c:v>6</c:v>
                </c:pt>
                <c:pt idx="315">
                  <c:v>6</c:v>
                </c:pt>
                <c:pt idx="316">
                  <c:v>6</c:v>
                </c:pt>
                <c:pt idx="317">
                  <c:v>6</c:v>
                </c:pt>
                <c:pt idx="318">
                  <c:v>6</c:v>
                </c:pt>
                <c:pt idx="319">
                  <c:v>6</c:v>
                </c:pt>
                <c:pt idx="320">
                  <c:v>6</c:v>
                </c:pt>
                <c:pt idx="321">
                  <c:v>6</c:v>
                </c:pt>
                <c:pt idx="322">
                  <c:v>6</c:v>
                </c:pt>
                <c:pt idx="323">
                  <c:v>6</c:v>
                </c:pt>
                <c:pt idx="324">
                  <c:v>6</c:v>
                </c:pt>
                <c:pt idx="325">
                  <c:v>6</c:v>
                </c:pt>
                <c:pt idx="326">
                  <c:v>6</c:v>
                </c:pt>
                <c:pt idx="327">
                  <c:v>6</c:v>
                </c:pt>
                <c:pt idx="328">
                  <c:v>6</c:v>
                </c:pt>
                <c:pt idx="329">
                  <c:v>6</c:v>
                </c:pt>
                <c:pt idx="330">
                  <c:v>6</c:v>
                </c:pt>
                <c:pt idx="331">
                  <c:v>6</c:v>
                </c:pt>
                <c:pt idx="332">
                  <c:v>6</c:v>
                </c:pt>
                <c:pt idx="333">
                  <c:v>6</c:v>
                </c:pt>
                <c:pt idx="334">
                  <c:v>6</c:v>
                </c:pt>
                <c:pt idx="335">
                  <c:v>6</c:v>
                </c:pt>
                <c:pt idx="336">
                  <c:v>6</c:v>
                </c:pt>
                <c:pt idx="337">
                  <c:v>6</c:v>
                </c:pt>
                <c:pt idx="338">
                  <c:v>6</c:v>
                </c:pt>
                <c:pt idx="339">
                  <c:v>6</c:v>
                </c:pt>
                <c:pt idx="340">
                  <c:v>6</c:v>
                </c:pt>
                <c:pt idx="341">
                  <c:v>6</c:v>
                </c:pt>
                <c:pt idx="342">
                  <c:v>6</c:v>
                </c:pt>
                <c:pt idx="343">
                  <c:v>6</c:v>
                </c:pt>
                <c:pt idx="344">
                  <c:v>6</c:v>
                </c:pt>
                <c:pt idx="345">
                  <c:v>6</c:v>
                </c:pt>
                <c:pt idx="346">
                  <c:v>6</c:v>
                </c:pt>
                <c:pt idx="347">
                  <c:v>6</c:v>
                </c:pt>
                <c:pt idx="348">
                  <c:v>6</c:v>
                </c:pt>
                <c:pt idx="349">
                  <c:v>6</c:v>
                </c:pt>
                <c:pt idx="350">
                  <c:v>6</c:v>
                </c:pt>
                <c:pt idx="351">
                  <c:v>6</c:v>
                </c:pt>
                <c:pt idx="352">
                  <c:v>6</c:v>
                </c:pt>
                <c:pt idx="353">
                  <c:v>6</c:v>
                </c:pt>
                <c:pt idx="354">
                  <c:v>6</c:v>
                </c:pt>
                <c:pt idx="355">
                  <c:v>6</c:v>
                </c:pt>
                <c:pt idx="356">
                  <c:v>6</c:v>
                </c:pt>
                <c:pt idx="357">
                  <c:v>6</c:v>
                </c:pt>
                <c:pt idx="358">
                  <c:v>6</c:v>
                </c:pt>
                <c:pt idx="359">
                  <c:v>6</c:v>
                </c:pt>
                <c:pt idx="360">
                  <c:v>6</c:v>
                </c:pt>
                <c:pt idx="361">
                  <c:v>6</c:v>
                </c:pt>
                <c:pt idx="362">
                  <c:v>6</c:v>
                </c:pt>
                <c:pt idx="363">
                  <c:v>6</c:v>
                </c:pt>
                <c:pt idx="364">
                  <c:v>6</c:v>
                </c:pt>
                <c:pt idx="365">
                  <c:v>6</c:v>
                </c:pt>
                <c:pt idx="366">
                  <c:v>6</c:v>
                </c:pt>
                <c:pt idx="367">
                  <c:v>6</c:v>
                </c:pt>
                <c:pt idx="368">
                  <c:v>6</c:v>
                </c:pt>
                <c:pt idx="369">
                  <c:v>6</c:v>
                </c:pt>
                <c:pt idx="370">
                  <c:v>6</c:v>
                </c:pt>
                <c:pt idx="371">
                  <c:v>6</c:v>
                </c:pt>
                <c:pt idx="372">
                  <c:v>6</c:v>
                </c:pt>
                <c:pt idx="373">
                  <c:v>6</c:v>
                </c:pt>
                <c:pt idx="374">
                  <c:v>6</c:v>
                </c:pt>
                <c:pt idx="375">
                  <c:v>6</c:v>
                </c:pt>
                <c:pt idx="376">
                  <c:v>6</c:v>
                </c:pt>
                <c:pt idx="377">
                  <c:v>6</c:v>
                </c:pt>
                <c:pt idx="378">
                  <c:v>6</c:v>
                </c:pt>
                <c:pt idx="379">
                  <c:v>6</c:v>
                </c:pt>
                <c:pt idx="380">
                  <c:v>6</c:v>
                </c:pt>
                <c:pt idx="381">
                  <c:v>6</c:v>
                </c:pt>
                <c:pt idx="382">
                  <c:v>6</c:v>
                </c:pt>
                <c:pt idx="383">
                  <c:v>6</c:v>
                </c:pt>
                <c:pt idx="384">
                  <c:v>6</c:v>
                </c:pt>
                <c:pt idx="385">
                  <c:v>6</c:v>
                </c:pt>
                <c:pt idx="386">
                  <c:v>6</c:v>
                </c:pt>
                <c:pt idx="387">
                  <c:v>6</c:v>
                </c:pt>
                <c:pt idx="388">
                  <c:v>6</c:v>
                </c:pt>
                <c:pt idx="389">
                  <c:v>7</c:v>
                </c:pt>
                <c:pt idx="390">
                  <c:v>7</c:v>
                </c:pt>
                <c:pt idx="391">
                  <c:v>7</c:v>
                </c:pt>
                <c:pt idx="392">
                  <c:v>7</c:v>
                </c:pt>
                <c:pt idx="393">
                  <c:v>7</c:v>
                </c:pt>
                <c:pt idx="394">
                  <c:v>7</c:v>
                </c:pt>
                <c:pt idx="395">
                  <c:v>7</c:v>
                </c:pt>
                <c:pt idx="396">
                  <c:v>7</c:v>
                </c:pt>
                <c:pt idx="397">
                  <c:v>7</c:v>
                </c:pt>
                <c:pt idx="398">
                  <c:v>7</c:v>
                </c:pt>
                <c:pt idx="399">
                  <c:v>7</c:v>
                </c:pt>
                <c:pt idx="400">
                  <c:v>7</c:v>
                </c:pt>
                <c:pt idx="401">
                  <c:v>7</c:v>
                </c:pt>
                <c:pt idx="402">
                  <c:v>7</c:v>
                </c:pt>
                <c:pt idx="403">
                  <c:v>7</c:v>
                </c:pt>
                <c:pt idx="404">
                  <c:v>7</c:v>
                </c:pt>
                <c:pt idx="405">
                  <c:v>7</c:v>
                </c:pt>
                <c:pt idx="406">
                  <c:v>7</c:v>
                </c:pt>
                <c:pt idx="407">
                  <c:v>7</c:v>
                </c:pt>
                <c:pt idx="408">
                  <c:v>7</c:v>
                </c:pt>
                <c:pt idx="409">
                  <c:v>7</c:v>
                </c:pt>
                <c:pt idx="410">
                  <c:v>7</c:v>
                </c:pt>
                <c:pt idx="411">
                  <c:v>7</c:v>
                </c:pt>
                <c:pt idx="412">
                  <c:v>7</c:v>
                </c:pt>
                <c:pt idx="413">
                  <c:v>7</c:v>
                </c:pt>
                <c:pt idx="414">
                  <c:v>7</c:v>
                </c:pt>
                <c:pt idx="415">
                  <c:v>7</c:v>
                </c:pt>
                <c:pt idx="416">
                  <c:v>7</c:v>
                </c:pt>
                <c:pt idx="417">
                  <c:v>7</c:v>
                </c:pt>
                <c:pt idx="418">
                  <c:v>7</c:v>
                </c:pt>
                <c:pt idx="419">
                  <c:v>7</c:v>
                </c:pt>
                <c:pt idx="420">
                  <c:v>7</c:v>
                </c:pt>
                <c:pt idx="421">
                  <c:v>7</c:v>
                </c:pt>
                <c:pt idx="422">
                  <c:v>7</c:v>
                </c:pt>
                <c:pt idx="423">
                  <c:v>7</c:v>
                </c:pt>
                <c:pt idx="424">
                  <c:v>7</c:v>
                </c:pt>
                <c:pt idx="425">
                  <c:v>7</c:v>
                </c:pt>
                <c:pt idx="426">
                  <c:v>7</c:v>
                </c:pt>
                <c:pt idx="427">
                  <c:v>7</c:v>
                </c:pt>
                <c:pt idx="428">
                  <c:v>7</c:v>
                </c:pt>
                <c:pt idx="429">
                  <c:v>7</c:v>
                </c:pt>
                <c:pt idx="430">
                  <c:v>7</c:v>
                </c:pt>
                <c:pt idx="431">
                  <c:v>7</c:v>
                </c:pt>
                <c:pt idx="432">
                  <c:v>7</c:v>
                </c:pt>
                <c:pt idx="433">
                  <c:v>7</c:v>
                </c:pt>
                <c:pt idx="434">
                  <c:v>7</c:v>
                </c:pt>
                <c:pt idx="435">
                  <c:v>7</c:v>
                </c:pt>
                <c:pt idx="436">
                  <c:v>7</c:v>
                </c:pt>
                <c:pt idx="437">
                  <c:v>7</c:v>
                </c:pt>
                <c:pt idx="438">
                  <c:v>7</c:v>
                </c:pt>
                <c:pt idx="439">
                  <c:v>7</c:v>
                </c:pt>
                <c:pt idx="440">
                  <c:v>7</c:v>
                </c:pt>
                <c:pt idx="441">
                  <c:v>7</c:v>
                </c:pt>
                <c:pt idx="442">
                  <c:v>7</c:v>
                </c:pt>
                <c:pt idx="443">
                  <c:v>7</c:v>
                </c:pt>
                <c:pt idx="444">
                  <c:v>7</c:v>
                </c:pt>
                <c:pt idx="445">
                  <c:v>7</c:v>
                </c:pt>
                <c:pt idx="446">
                  <c:v>7</c:v>
                </c:pt>
                <c:pt idx="447">
                  <c:v>7</c:v>
                </c:pt>
                <c:pt idx="448">
                  <c:v>7</c:v>
                </c:pt>
                <c:pt idx="449">
                  <c:v>7</c:v>
                </c:pt>
                <c:pt idx="450">
                  <c:v>7</c:v>
                </c:pt>
                <c:pt idx="451">
                  <c:v>7</c:v>
                </c:pt>
                <c:pt idx="452">
                  <c:v>7</c:v>
                </c:pt>
                <c:pt idx="453">
                  <c:v>7</c:v>
                </c:pt>
                <c:pt idx="454">
                  <c:v>7</c:v>
                </c:pt>
                <c:pt idx="455">
                  <c:v>7</c:v>
                </c:pt>
                <c:pt idx="456">
                  <c:v>7</c:v>
                </c:pt>
                <c:pt idx="457">
                  <c:v>7</c:v>
                </c:pt>
                <c:pt idx="458">
                  <c:v>8</c:v>
                </c:pt>
                <c:pt idx="459">
                  <c:v>8</c:v>
                </c:pt>
                <c:pt idx="460">
                  <c:v>8</c:v>
                </c:pt>
                <c:pt idx="461">
                  <c:v>8</c:v>
                </c:pt>
                <c:pt idx="462">
                  <c:v>8</c:v>
                </c:pt>
                <c:pt idx="463">
                  <c:v>8</c:v>
                </c:pt>
                <c:pt idx="464">
                  <c:v>8</c:v>
                </c:pt>
                <c:pt idx="465">
                  <c:v>8</c:v>
                </c:pt>
                <c:pt idx="466">
                  <c:v>8</c:v>
                </c:pt>
                <c:pt idx="467">
                  <c:v>8</c:v>
                </c:pt>
                <c:pt idx="468">
                  <c:v>8</c:v>
                </c:pt>
                <c:pt idx="469">
                  <c:v>8</c:v>
                </c:pt>
                <c:pt idx="470">
                  <c:v>8</c:v>
                </c:pt>
                <c:pt idx="471">
                  <c:v>8</c:v>
                </c:pt>
                <c:pt idx="472">
                  <c:v>8</c:v>
                </c:pt>
                <c:pt idx="473">
                  <c:v>8</c:v>
                </c:pt>
                <c:pt idx="474">
                  <c:v>8</c:v>
                </c:pt>
                <c:pt idx="475">
                  <c:v>8</c:v>
                </c:pt>
                <c:pt idx="476">
                  <c:v>8</c:v>
                </c:pt>
                <c:pt idx="477">
                  <c:v>8</c:v>
                </c:pt>
                <c:pt idx="478">
                  <c:v>8</c:v>
                </c:pt>
                <c:pt idx="479">
                  <c:v>8</c:v>
                </c:pt>
                <c:pt idx="480">
                  <c:v>8</c:v>
                </c:pt>
                <c:pt idx="481">
                  <c:v>8</c:v>
                </c:pt>
                <c:pt idx="482">
                  <c:v>8</c:v>
                </c:pt>
                <c:pt idx="483">
                  <c:v>8</c:v>
                </c:pt>
                <c:pt idx="484">
                  <c:v>8</c:v>
                </c:pt>
                <c:pt idx="485">
                  <c:v>8</c:v>
                </c:pt>
                <c:pt idx="486">
                  <c:v>8</c:v>
                </c:pt>
                <c:pt idx="487">
                  <c:v>9</c:v>
                </c:pt>
                <c:pt idx="488">
                  <c:v>9</c:v>
                </c:pt>
                <c:pt idx="489">
                  <c:v>9</c:v>
                </c:pt>
                <c:pt idx="490">
                  <c:v>9</c:v>
                </c:pt>
                <c:pt idx="491">
                  <c:v>9</c:v>
                </c:pt>
                <c:pt idx="492">
                  <c:v>9</c:v>
                </c:pt>
                <c:pt idx="493">
                  <c:v>9</c:v>
                </c:pt>
                <c:pt idx="494">
                  <c:v>9</c:v>
                </c:pt>
                <c:pt idx="495">
                  <c:v>10</c:v>
                </c:pt>
                <c:pt idx="496">
                  <c:v>10</c:v>
                </c:pt>
                <c:pt idx="497">
                  <c:v>10</c:v>
                </c:pt>
                <c:pt idx="498">
                  <c:v>10</c:v>
                </c:pt>
                <c:pt idx="499">
                  <c:v>10</c:v>
                </c:pt>
              </c:numCache>
            </c:numRef>
          </c:yVal>
          <c:smooth val="0"/>
          <c:extLst>
            <c:ext xmlns:c16="http://schemas.microsoft.com/office/drawing/2014/chart" uri="{C3380CC4-5D6E-409C-BE32-E72D297353CC}">
              <c16:uniqueId val="{00000001-31D8-42E4-A9B7-4C7101E09733}"/>
            </c:ext>
          </c:extLst>
        </c:ser>
        <c:dLbls>
          <c:showLegendKey val="0"/>
          <c:showVal val="0"/>
          <c:showCatName val="0"/>
          <c:showSerName val="0"/>
          <c:showPercent val="0"/>
          <c:showBubbleSize val="0"/>
        </c:dLbls>
        <c:axId val="618059136"/>
        <c:axId val="618061056"/>
      </c:scatterChart>
      <c:valAx>
        <c:axId val="618059136"/>
        <c:scaling>
          <c:orientation val="minMax"/>
        </c:scaling>
        <c:delete val="0"/>
        <c:axPos val="b"/>
        <c:title>
          <c:tx>
            <c:rich>
              <a:bodyPr/>
              <a:lstStyle/>
              <a:p>
                <a:pPr>
                  <a:defRPr/>
                </a:pPr>
                <a:r>
                  <a:rPr lang="en-GB"/>
                  <a:t>Sample Percentile</a:t>
                </a:r>
              </a:p>
            </c:rich>
          </c:tx>
          <c:overlay val="0"/>
        </c:title>
        <c:numFmt formatCode="General" sourceLinked="1"/>
        <c:majorTickMark val="out"/>
        <c:minorTickMark val="none"/>
        <c:tickLblPos val="nextTo"/>
        <c:crossAx val="618061056"/>
        <c:crosses val="autoZero"/>
        <c:crossBetween val="midCat"/>
      </c:valAx>
      <c:valAx>
        <c:axId val="618061056"/>
        <c:scaling>
          <c:orientation val="minMax"/>
        </c:scaling>
        <c:delete val="0"/>
        <c:axPos val="l"/>
        <c:title>
          <c:tx>
            <c:rich>
              <a:bodyPr/>
              <a:lstStyle/>
              <a:p>
                <a:pPr>
                  <a:defRPr/>
                </a:pPr>
                <a:r>
                  <a:rPr lang="en-GB"/>
                  <a:t>Y Lead Time (days)</a:t>
                </a:r>
              </a:p>
            </c:rich>
          </c:tx>
          <c:overlay val="0"/>
        </c:title>
        <c:numFmt formatCode="General" sourceLinked="1"/>
        <c:majorTickMark val="out"/>
        <c:minorTickMark val="none"/>
        <c:tickLblPos val="nextTo"/>
        <c:crossAx val="618059136"/>
        <c:crosses val="autoZero"/>
        <c:crossBetween val="midCat"/>
      </c:valAx>
    </c:plotArea>
    <c:plotVisOnly val="1"/>
    <c:dispBlanksAs val="gap"/>
    <c:showDLblsOverMax val="0"/>
    <c:extLst>
      <c:ext xmlns:c16r3="http://schemas.microsoft.com/office/drawing/2017/03/chart" uri="{56B9EC1D-385E-4148-901F-78D8002777C0}">
        <c16r3:dataDisplayOptions16>
          <c16r3:dispNaAsBlank val="1"/>
        </c16r3:dataDisplayOptions16>
      </c:ext>
    </c:extLst>
  </c:chart>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a:t>Impact vs. Effort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'Pick Chart'!$C$1</c:f>
              <c:strCache>
                <c:ptCount val="1"/>
                <c:pt idx="0">
                  <c:v>Impact</c:v>
                </c:pt>
              </c:strCache>
            </c:strRef>
          </c:tx>
          <c:spPr>
            <a:ln w="19050" cap="rnd">
              <a:noFill/>
              <a:round/>
            </a:ln>
            <a:effectLst/>
          </c:spPr>
          <c:marker>
            <c:symbol val="circle"/>
            <c:size val="5"/>
            <c:spPr>
              <a:solidFill>
                <a:schemeClr val="accent1"/>
              </a:solidFill>
              <a:ln w="9525">
                <a:solidFill>
                  <a:schemeClr val="accent1"/>
                </a:solidFill>
              </a:ln>
              <a:effectLst/>
            </c:spPr>
          </c:marker>
          <c:xVal>
            <c:numRef>
              <c:f>'Pick Chart'!$B$2:$B$5</c:f>
              <c:numCache>
                <c:formatCode>General</c:formatCode>
                <c:ptCount val="4"/>
                <c:pt idx="0">
                  <c:v>1</c:v>
                </c:pt>
                <c:pt idx="1">
                  <c:v>2</c:v>
                </c:pt>
                <c:pt idx="2">
                  <c:v>4</c:v>
                </c:pt>
                <c:pt idx="3">
                  <c:v>2</c:v>
                </c:pt>
              </c:numCache>
            </c:numRef>
          </c:xVal>
          <c:yVal>
            <c:numRef>
              <c:f>'Pick Chart'!$C$2:$C$5</c:f>
              <c:numCache>
                <c:formatCode>General</c:formatCode>
                <c:ptCount val="4"/>
                <c:pt idx="0">
                  <c:v>3</c:v>
                </c:pt>
                <c:pt idx="1">
                  <c:v>1</c:v>
                </c:pt>
                <c:pt idx="2">
                  <c:v>2</c:v>
                </c:pt>
                <c:pt idx="3">
                  <c:v>5</c:v>
                </c:pt>
              </c:numCache>
            </c:numRef>
          </c:yVal>
          <c:smooth val="0"/>
          <c:extLst>
            <c:ext xmlns:c16="http://schemas.microsoft.com/office/drawing/2014/chart" uri="{C3380CC4-5D6E-409C-BE32-E72D297353CC}">
              <c16:uniqueId val="{00000000-EFD8-468D-9E33-5BE77965FE2C}"/>
            </c:ext>
          </c:extLst>
        </c:ser>
        <c:dLbls>
          <c:showLegendKey val="0"/>
          <c:showVal val="0"/>
          <c:showCatName val="0"/>
          <c:showSerName val="0"/>
          <c:showPercent val="0"/>
          <c:showBubbleSize val="0"/>
        </c:dLbls>
        <c:axId val="1489039535"/>
        <c:axId val="1489037039"/>
      </c:scatterChart>
      <c:valAx>
        <c:axId val="1489039535"/>
        <c:scaling>
          <c:orientation val="minMax"/>
          <c:max val="5"/>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Effort</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89037039"/>
        <c:crosses val="autoZero"/>
        <c:crossBetween val="midCat"/>
      </c:valAx>
      <c:valAx>
        <c:axId val="1489037039"/>
        <c:scaling>
          <c:orientation val="minMax"/>
          <c:max val="5"/>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Impact</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89039535"/>
        <c:crosses val="autoZero"/>
        <c:crossBetween val="midCat"/>
        <c:majorUnit val="1"/>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val">
        <cx:f>_xlchart.v1.1</cx:f>
      </cx:numDim>
    </cx:data>
  </cx:chartData>
  <cx:chart>
    <cx:title pos="t" align="ctr" overlay="0">
      <cx:tx>
        <cx:txData>
          <cx:v>Pareto of FM by RPN</cx:v>
        </cx:txData>
      </cx:tx>
      <cx:txPr>
        <a:bodyPr spcFirstLastPara="1" vertOverflow="ellipsis" horzOverflow="overflow" wrap="square" lIns="0" tIns="0" rIns="0" bIns="0" anchor="ctr" anchorCtr="1"/>
        <a:lstStyle/>
        <a:p>
          <a:pPr algn="ctr" rtl="0">
            <a:defRPr/>
          </a:pPr>
          <a:r>
            <a:rPr lang="en-GB" sz="1400" b="0" i="0" u="none" strike="noStrike" baseline="0">
              <a:solidFill>
                <a:sysClr val="windowText" lastClr="000000">
                  <a:lumMod val="65000"/>
                  <a:lumOff val="35000"/>
                </a:sysClr>
              </a:solidFill>
              <a:latin typeface="Calibri" panose="020F0502020204030204"/>
            </a:rPr>
            <a:t>Pareto of FM by RPN</a:t>
          </a:r>
        </a:p>
      </cx:txPr>
    </cx:title>
    <cx:plotArea>
      <cx:plotAreaRegion>
        <cx:series layoutId="clusteredColumn" uniqueId="{48EEFD04-FF07-9C4B-AB9E-4C35E4ACF4DB}">
          <cx:spPr>
            <a:solidFill>
              <a:schemeClr val="accent3"/>
            </a:solidFill>
          </cx:spPr>
          <cx:dataId val="0"/>
          <cx:layoutPr>
            <cx:aggregation/>
          </cx:layoutPr>
          <cx:axisId val="1"/>
        </cx:series>
        <cx:series layoutId="paretoLine" ownerIdx="0" uniqueId="{531CC119-13C4-1044-B7B9-8461A4A7BA10}">
          <cx:spPr>
            <a:ln>
              <a:solidFill>
                <a:srgbClr val="FF0000"/>
              </a:solidFill>
            </a:ln>
          </cx:spPr>
          <cx:axisId val="2"/>
        </cx:series>
      </cx:plotAreaRegion>
      <cx:axis id="0">
        <cx:catScaling gapWidth="0"/>
        <cx:tick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axis>
      <cx:axis id="1">
        <cx:valScaling/>
        <cx:title>
          <cx:tx>
            <cx:txData>
              <cx:v>RPN (/1000)</cx:v>
            </cx:txData>
          </cx:tx>
          <cx:txPr>
            <a:bodyPr spcFirstLastPara="1" vertOverflow="ellipsis" horzOverflow="overflow" wrap="square" lIns="0" tIns="0" rIns="0" bIns="0" anchor="ctr" anchorCtr="1"/>
            <a:lstStyle/>
            <a:p>
              <a:pPr algn="ctr" rtl="0">
                <a:defRPr/>
              </a:pPr>
              <a:r>
                <a:rPr lang="en-GB" sz="900" b="0" i="0" u="none" strike="noStrike" baseline="0">
                  <a:solidFill>
                    <a:sysClr val="windowText" lastClr="000000">
                      <a:lumMod val="65000"/>
                      <a:lumOff val="35000"/>
                    </a:sysClr>
                  </a:solidFill>
                  <a:latin typeface="Calibri" panose="020F0502020204030204"/>
                </a:rPr>
                <a:t>RPN (/1000)</a:t>
              </a:r>
            </a:p>
          </cx:txPr>
        </cx:title>
        <cx:majorGridlines/>
        <cx:tick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axis>
      <cx:axis id="2">
        <cx:valScaling max="1" min="0"/>
        <cx:units unit="percentage"/>
        <cx:tick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iagrams/colors1.xml><?xml version="1.0" encoding="utf-8"?>
<dgm:colorsDef xmlns:dgm="http://schemas.openxmlformats.org/drawingml/2006/diagram" xmlns:a="http://schemas.openxmlformats.org/drawingml/2006/main" uniqueId="urn:microsoft.com/office/officeart/2005/8/colors/accent1_4">
  <dgm:title val=""/>
  <dgm:desc val=""/>
  <dgm:catLst>
    <dgm:cat type="accent1" pri="11400"/>
  </dgm:catLst>
  <dgm:styleLbl name="node0">
    <dgm:fillClrLst meth="cycle">
      <a:schemeClr val="accent1">
        <a:shade val="60000"/>
      </a:schemeClr>
    </dgm:fillClrLst>
    <dgm:linClrLst meth="repeat">
      <a:schemeClr val="lt1"/>
    </dgm:linClrLst>
    <dgm:effectClrLst/>
    <dgm:txLinClrLst/>
    <dgm:txFillClrLst/>
    <dgm:txEffectClrLst/>
  </dgm:styleLbl>
  <dgm:styleLbl name="node1">
    <dgm:fillClrLst meth="cycle">
      <a:schemeClr val="accent1">
        <a:shade val="50000"/>
      </a:schemeClr>
      <a:schemeClr val="accent1">
        <a:tint val="55000"/>
      </a:schemeClr>
    </dgm:fillClrLst>
    <dgm:linClrLst meth="repeat">
      <a:schemeClr val="lt1"/>
    </dgm:linClrLst>
    <dgm:effectClrLst/>
    <dgm:txLinClrLst/>
    <dgm:txFillClrLst/>
    <dgm:txEffectClrLst/>
  </dgm:styleLbl>
  <dgm:styleLbl name="alignNode1">
    <dgm:fillClrLst meth="cycle">
      <a:schemeClr val="accent1">
        <a:shade val="50000"/>
      </a:schemeClr>
      <a:schemeClr val="accent1">
        <a:tint val="55000"/>
      </a:schemeClr>
    </dgm:fillClrLst>
    <dgm:linClrLst meth="cycle">
      <a:schemeClr val="accent1">
        <a:shade val="50000"/>
      </a:schemeClr>
      <a:schemeClr val="accent1">
        <a:tint val="55000"/>
      </a:schemeClr>
    </dgm:linClrLst>
    <dgm:effectClrLst/>
    <dgm:txLinClrLst/>
    <dgm:txFillClrLst/>
    <dgm:txEffectClrLst/>
  </dgm:styleLbl>
  <dgm:styleLbl name="lnNode1">
    <dgm:fillClrLst meth="cycle">
      <a:schemeClr val="accent1">
        <a:shade val="50000"/>
      </a:schemeClr>
      <a:schemeClr val="accent1">
        <a:tint val="55000"/>
      </a:schemeClr>
    </dgm:fillClrLst>
    <dgm:linClrLst meth="repeat">
      <a:schemeClr val="lt1"/>
    </dgm:linClrLst>
    <dgm:effectClrLst/>
    <dgm:txLinClrLst/>
    <dgm:txFillClrLst/>
    <dgm:txEffectClrLst/>
  </dgm:styleLbl>
  <dgm:styleLbl name="vennNode1">
    <dgm:fillClrLst meth="cycle">
      <a:schemeClr val="accent1">
        <a:shade val="80000"/>
        <a:alpha val="50000"/>
      </a:schemeClr>
      <a:schemeClr val="accent1">
        <a:tint val="50000"/>
        <a:alpha val="50000"/>
      </a:schemeClr>
    </dgm:fillClrLst>
    <dgm:linClrLst meth="repeat">
      <a:schemeClr val="lt1"/>
    </dgm:linClrLst>
    <dgm:effectClrLst/>
    <dgm:txLinClrLst/>
    <dgm:txFillClrLst/>
    <dgm:txEffectClrLst/>
  </dgm:styleLbl>
  <dgm:styleLbl name="node2">
    <dgm:fillClrLst>
      <a:schemeClr val="accent1">
        <a:shade val="80000"/>
      </a:schemeClr>
    </dgm:fillClrLst>
    <dgm:linClrLst meth="repeat">
      <a:schemeClr val="lt1"/>
    </dgm:linClrLst>
    <dgm:effectClrLst/>
    <dgm:txLinClrLst/>
    <dgm:txFillClrLst/>
    <dgm:txEffectClrLst/>
  </dgm:styleLbl>
  <dgm:styleLbl name="node3">
    <dgm:fillClrLst>
      <a:schemeClr val="accent1">
        <a:tint val="99000"/>
      </a:schemeClr>
    </dgm:fillClrLst>
    <dgm:linClrLst meth="repeat">
      <a:schemeClr val="lt1"/>
    </dgm:linClrLst>
    <dgm:effectClrLst/>
    <dgm:txLinClrLst/>
    <dgm:txFillClrLst/>
    <dgm:txEffectClrLst/>
  </dgm:styleLbl>
  <dgm:styleLbl name="node4">
    <dgm:fillClrLst>
      <a:schemeClr val="accent1">
        <a:tint val="70000"/>
      </a:schemeClr>
    </dgm:fillClrLst>
    <dgm:linClrLst meth="repeat">
      <a:schemeClr val="lt1"/>
    </dgm:linClrLst>
    <dgm:effectClrLst/>
    <dgm:txLinClrLst/>
    <dgm:txFillClrLst/>
    <dgm:txEffectClrLst/>
  </dgm:styleLbl>
  <dgm:styleLbl name="fgImgPlace1">
    <dgm:fillClrLst>
      <a:schemeClr val="accent1">
        <a:tint val="50000"/>
      </a:schemeClr>
      <a:schemeClr val="accent1">
        <a:tint val="55000"/>
      </a:schemeClr>
    </dgm:fillClrLst>
    <dgm:linClrLst meth="repeat">
      <a:schemeClr val="lt1"/>
    </dgm:linClrLst>
    <dgm:effectClrLst/>
    <dgm:txLinClrLst/>
    <dgm:txFillClrLst meth="repeat">
      <a:schemeClr val="lt1"/>
    </dgm:txFillClrLst>
    <dgm:txEffectClrLst/>
  </dgm:styleLbl>
  <dgm:styleLbl name="alignImgPlace1">
    <dgm:fillClrLst>
      <a:schemeClr val="accent1">
        <a:tint val="50000"/>
      </a:schemeClr>
      <a:schemeClr val="accent1">
        <a:tint val="55000"/>
      </a:schemeClr>
    </dgm:fillClrLst>
    <dgm:linClrLst meth="repeat">
      <a:schemeClr val="lt1"/>
    </dgm:linClrLst>
    <dgm:effectClrLst/>
    <dgm:txLinClrLst/>
    <dgm:txFillClrLst meth="repeat">
      <a:schemeClr val="lt1"/>
    </dgm:txFillClrLst>
    <dgm:txEffectClrLst/>
  </dgm:styleLbl>
  <dgm:styleLbl name="bgImgPlace1">
    <dgm:fillClrLst>
      <a:schemeClr val="accent1">
        <a:tint val="50000"/>
      </a:schemeClr>
      <a:schemeClr val="accent1">
        <a:tint val="55000"/>
      </a:schemeClr>
    </dgm:fillClrLst>
    <dgm:linClrLst meth="repeat">
      <a:schemeClr val="lt1"/>
    </dgm:linClrLst>
    <dgm:effectClrLst/>
    <dgm:txLinClrLst/>
    <dgm:txFillClrLst meth="repeat">
      <a:schemeClr val="lt1"/>
    </dgm:txFillClrLst>
    <dgm:txEffectClrLst/>
  </dgm:styleLbl>
  <dgm:styleLbl name="sibTrans2D1">
    <dgm:fillClrLst meth="cycle">
      <a:schemeClr val="accent1">
        <a:shade val="90000"/>
      </a:schemeClr>
      <a:schemeClr val="accent1">
        <a:tint val="50000"/>
      </a:schemeClr>
    </dgm:fillClrLst>
    <dgm:linClrLst meth="cycle">
      <a:schemeClr val="accent1">
        <a:shade val="90000"/>
      </a:schemeClr>
      <a:schemeClr val="accent1">
        <a:tint val="50000"/>
      </a:schemeClr>
    </dgm:linClrLst>
    <dgm:effectClrLst/>
    <dgm:txLinClrLst/>
    <dgm:txFillClrLst/>
    <dgm:txEffectClrLst/>
  </dgm:styleLbl>
  <dgm:styleLbl name="fgSibTrans2D1">
    <dgm:fillClrLst meth="cycle">
      <a:schemeClr val="accent1">
        <a:shade val="90000"/>
      </a:schemeClr>
      <a:schemeClr val="accent1">
        <a:tint val="50000"/>
      </a:schemeClr>
    </dgm:fillClrLst>
    <dgm:linClrLst meth="cycle">
      <a:schemeClr val="accent1">
        <a:shade val="90000"/>
      </a:schemeClr>
      <a:schemeClr val="accent1">
        <a:tint val="50000"/>
      </a:schemeClr>
    </dgm:linClrLst>
    <dgm:effectClrLst/>
    <dgm:txLinClrLst/>
    <dgm:txFillClrLst/>
    <dgm:txEffectClrLst/>
  </dgm:styleLbl>
  <dgm:styleLbl name="bgSibTrans2D1">
    <dgm:fillClrLst meth="cycle">
      <a:schemeClr val="accent1">
        <a:shade val="90000"/>
      </a:schemeClr>
      <a:schemeClr val="accent1">
        <a:tint val="50000"/>
      </a:schemeClr>
    </dgm:fillClrLst>
    <dgm:linClrLst meth="cycle">
      <a:schemeClr val="accent1">
        <a:shade val="90000"/>
      </a:schemeClr>
      <a:schemeClr val="accent1">
        <a:tint val="50000"/>
      </a:schemeClr>
    </dgm:linClrLst>
    <dgm:effectClrLst/>
    <dgm:txLinClrLst/>
    <dgm:txFillClrLst/>
    <dgm:txEffectClrLst/>
  </dgm:styleLbl>
  <dgm:styleLbl name="sibTrans1D1">
    <dgm:fillClrLst meth="cycle">
      <a:schemeClr val="accent1">
        <a:shade val="90000"/>
      </a:schemeClr>
      <a:schemeClr val="accent1">
        <a:tint val="50000"/>
      </a:schemeClr>
    </dgm:fillClrLst>
    <dgm:linClrLst meth="cycle">
      <a:schemeClr val="accent1">
        <a:shade val="90000"/>
      </a:schemeClr>
      <a:schemeClr val="accent1">
        <a:tint val="50000"/>
      </a:schemeClr>
    </dgm:linClrLst>
    <dgm:effectClrLst/>
    <dgm:txLinClrLst/>
    <dgm:txFillClrLst meth="repeat">
      <a:schemeClr val="tx1"/>
    </dgm:txFillClrLst>
    <dgm:txEffectClrLst/>
  </dgm:styleLbl>
  <dgm:styleLbl name="callout">
    <dgm:fillClrLst meth="repeat">
      <a:schemeClr val="accent1"/>
    </dgm:fillClrLst>
    <dgm:linClrLst meth="repeat">
      <a:schemeClr val="accent1"/>
    </dgm:linClrLst>
    <dgm:effectClrLst/>
    <dgm:txLinClrLst/>
    <dgm:txFillClrLst meth="repeat">
      <a:schemeClr val="tx1"/>
    </dgm:txFillClrLst>
    <dgm:txEffectClrLst/>
  </dgm:styleLbl>
  <dgm:styleLbl name="asst0">
    <dgm:fillClrLst meth="repeat">
      <a:schemeClr val="accent1">
        <a:shade val="80000"/>
      </a:schemeClr>
    </dgm:fillClrLst>
    <dgm:linClrLst meth="repeat">
      <a:schemeClr val="lt1"/>
    </dgm:linClrLst>
    <dgm:effectClrLst/>
    <dgm:txLinClrLst/>
    <dgm:txFillClrLst/>
    <dgm:txEffectClrLst/>
  </dgm:styleLbl>
  <dgm:styleLbl name="asst1">
    <dgm:fillClrLst meth="repeat">
      <a:schemeClr val="accent1">
        <a:shade val="80000"/>
      </a:schemeClr>
    </dgm:fillClrLst>
    <dgm:linClrLst meth="repeat">
      <a:schemeClr val="lt1"/>
    </dgm:linClrLst>
    <dgm:effectClrLst/>
    <dgm:txLinClrLst/>
    <dgm:txFillClrLst/>
    <dgm:txEffectClrLst/>
  </dgm:styleLbl>
  <dgm:styleLbl name="asst2">
    <dgm:fillClrLst>
      <a:schemeClr val="accent1">
        <a:tint val="90000"/>
      </a:schemeClr>
    </dgm:fillClrLst>
    <dgm:linClrLst meth="repeat">
      <a:schemeClr val="lt1"/>
    </dgm:linClrLst>
    <dgm:effectClrLst/>
    <dgm:txLinClrLst/>
    <dgm:txFillClrLst/>
    <dgm:txEffectClrLst/>
  </dgm:styleLbl>
  <dgm:styleLbl name="asst3">
    <dgm:fillClrLst>
      <a:schemeClr val="accent1">
        <a:tint val="70000"/>
      </a:schemeClr>
    </dgm:fillClrLst>
    <dgm:linClrLst meth="repeat">
      <a:schemeClr val="lt1"/>
    </dgm:linClrLst>
    <dgm:effectClrLst/>
    <dgm:txLinClrLst/>
    <dgm:txFillClrLst/>
    <dgm:txEffectClrLst/>
  </dgm:styleLbl>
  <dgm:styleLbl name="asst4">
    <dgm:fillClrLst>
      <a:schemeClr val="accent1">
        <a:tint val="50000"/>
      </a:schemeClr>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shade val="80000"/>
      </a:schemeClr>
    </dgm:linClrLst>
    <dgm:effectClrLst/>
    <dgm:txLinClrLst/>
    <dgm:txFillClrLst/>
    <dgm:txEffectClrLst/>
  </dgm:styleLbl>
  <dgm:styleLbl name="parChTrans2D2">
    <dgm:fillClrLst meth="repeat">
      <a:schemeClr val="accent1">
        <a:tint val="90000"/>
      </a:schemeClr>
    </dgm:fillClrLst>
    <dgm:linClrLst meth="repeat">
      <a:schemeClr val="accent1">
        <a:tint val="90000"/>
      </a:schemeClr>
    </dgm:linClrLst>
    <dgm:effectClrLst/>
    <dgm:txLinClrLst/>
    <dgm:txFillClrLst/>
    <dgm:txEffectClrLst/>
  </dgm:styleLbl>
  <dgm:styleLbl name="parChTrans2D3">
    <dgm:fillClrLst meth="repeat">
      <a:schemeClr val="accent1">
        <a:tint val="70000"/>
      </a:schemeClr>
    </dgm:fillClrLst>
    <dgm:linClrLst meth="repeat">
      <a:schemeClr val="accent1">
        <a:tint val="70000"/>
      </a:schemeClr>
    </dgm:linClrLst>
    <dgm:effectClrLst/>
    <dgm:txLinClrLst/>
    <dgm:txFillClrLst/>
    <dgm:txEffectClrLst/>
  </dgm:styleLbl>
  <dgm:styleLbl name="parChTrans2D4">
    <dgm:fillClrLst meth="repeat">
      <a:schemeClr val="accent1">
        <a:tint val="50000"/>
      </a:schemeClr>
    </dgm:fillClrLst>
    <dgm:linClrLst meth="repeat">
      <a:schemeClr val="accent1">
        <a:tint val="50000"/>
      </a:schemeClr>
    </dgm:linClrLst>
    <dgm:effectClrLst/>
    <dgm:txLinClrLst/>
    <dgm:txFillClrLst meth="repeat">
      <a:schemeClr val="dk1"/>
    </dgm:txFillClrLst>
    <dgm:txEffectClrLst/>
  </dgm:styleLbl>
  <dgm:styleLbl name="parChTrans1D1">
    <dgm:fillClrLst meth="repeat">
      <a:schemeClr val="accent1">
        <a:shade val="80000"/>
      </a:schemeClr>
    </dgm:fillClrLst>
    <dgm:linClrLst meth="repeat">
      <a:schemeClr val="accent1">
        <a:shade val="80000"/>
      </a:schemeClr>
    </dgm:linClrLst>
    <dgm:effectClrLst/>
    <dgm:txLinClrLst/>
    <dgm:txFillClrLst meth="repeat">
      <a:schemeClr val="tx1"/>
    </dgm:txFillClrLst>
    <dgm:txEffectClrLst/>
  </dgm:styleLbl>
  <dgm:styleLbl name="parChTrans1D2">
    <dgm:fillClrLst meth="repeat">
      <a:schemeClr val="accent1">
        <a:tint val="90000"/>
      </a:schemeClr>
    </dgm:fillClrLst>
    <dgm:linClrLst meth="repeat">
      <a:schemeClr val="accent1">
        <a:tint val="90000"/>
      </a:schemeClr>
    </dgm:linClrLst>
    <dgm:effectClrLst/>
    <dgm:txLinClrLst/>
    <dgm:txFillClrLst meth="repeat">
      <a:schemeClr val="tx1"/>
    </dgm:txFillClrLst>
    <dgm:txEffectClrLst/>
  </dgm:styleLbl>
  <dgm:styleLbl name="parChTrans1D3">
    <dgm:fillClrLst meth="repeat">
      <a:schemeClr val="accent1">
        <a:tint val="70000"/>
      </a:schemeClr>
    </dgm:fillClrLst>
    <dgm:linClrLst meth="repeat">
      <a:schemeClr val="accent1">
        <a:tint val="70000"/>
      </a:schemeClr>
    </dgm:linClrLst>
    <dgm:effectClrLst/>
    <dgm:txLinClrLst/>
    <dgm:txFillClrLst meth="repeat">
      <a:schemeClr val="tx1"/>
    </dgm:txFillClrLst>
    <dgm:txEffectClrLst/>
  </dgm:styleLbl>
  <dgm:styleLbl name="parChTrans1D4">
    <dgm:fillClrLst meth="repeat">
      <a:schemeClr val="accent1">
        <a:tint val="50000"/>
      </a:schemeClr>
    </dgm:fillClrLst>
    <dgm:linClrLst meth="repeat">
      <a:schemeClr val="accent1">
        <a:tint val="50000"/>
      </a:schemeClr>
    </dgm:linClrLst>
    <dgm:effectClrLst/>
    <dgm:txLinClrLst/>
    <dgm:txFillClrLst meth="repeat">
      <a:schemeClr val="tx1"/>
    </dgm:txFillClrLst>
    <dgm:txEffectClrLst/>
  </dgm:styleLbl>
  <dgm:styleLbl name="fgAcc1">
    <dgm:fillClrLst meth="repeat">
      <a:schemeClr val="lt1">
        <a:alpha val="90000"/>
      </a:schemeClr>
    </dgm:fillClrLst>
    <dgm:linClrLst meth="cycle">
      <a:schemeClr val="accent1">
        <a:shade val="50000"/>
      </a:schemeClr>
      <a:schemeClr val="accent1">
        <a:tint val="55000"/>
      </a:schemeClr>
    </dgm:linClrLst>
    <dgm:effectClrLst/>
    <dgm:txLinClrLst/>
    <dgm:txFillClrLst meth="repeat">
      <a:schemeClr val="dk1"/>
    </dgm:txFillClrLst>
    <dgm:txEffectClrLst/>
  </dgm:styleLbl>
  <dgm:styleLbl name="conFgAcc1">
    <dgm:fillClrLst meth="repeat">
      <a:schemeClr val="lt1">
        <a:alpha val="90000"/>
      </a:schemeClr>
    </dgm:fillClrLst>
    <dgm:linClrLst meth="cycle">
      <a:schemeClr val="accent1">
        <a:shade val="50000"/>
      </a:schemeClr>
      <a:schemeClr val="accent1">
        <a:tint val="55000"/>
      </a:schemeClr>
    </dgm:linClrLst>
    <dgm:effectClrLst/>
    <dgm:txLinClrLst/>
    <dgm:txFillClrLst meth="repeat">
      <a:schemeClr val="dk1"/>
    </dgm:txFillClrLst>
    <dgm:txEffectClrLst/>
  </dgm:styleLbl>
  <dgm:styleLbl name="alignAcc1">
    <dgm:fillClrLst meth="repeat">
      <a:schemeClr val="lt1">
        <a:alpha val="90000"/>
      </a:schemeClr>
    </dgm:fillClrLst>
    <dgm:linClrLst meth="cycle">
      <a:schemeClr val="accent1">
        <a:shade val="50000"/>
      </a:schemeClr>
      <a:schemeClr val="accent1">
        <a:tint val="55000"/>
      </a:schemeClr>
    </dgm:linClrLst>
    <dgm:effectClrLst/>
    <dgm:txLinClrLst/>
    <dgm:txFillClrLst meth="repeat">
      <a:schemeClr val="dk1"/>
    </dgm:txFillClrLst>
    <dgm:txEffectClrLst/>
  </dgm:styleLbl>
  <dgm:styleLbl name="trAlignAcc1">
    <dgm:fillClrLst meth="repeat">
      <a:schemeClr val="lt1">
        <a:alpha val="55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cycle">
      <a:schemeClr val="accent1">
        <a:shade val="50000"/>
      </a:schemeClr>
      <a:schemeClr val="accent1">
        <a:tint val="55000"/>
      </a:schemeClr>
    </dgm:linClrLst>
    <dgm:effectClrLst/>
    <dgm:txLinClrLst/>
    <dgm:txFillClrLst meth="repeat">
      <a:schemeClr val="dk1"/>
    </dgm:txFillClrLst>
    <dgm:txEffectClrLst/>
  </dgm:styleLbl>
  <dgm:styleLbl name="solidFgAcc1">
    <dgm:fillClrLst meth="repeat">
      <a:schemeClr val="lt1"/>
    </dgm:fillClrLst>
    <dgm:linClrLst meth="cycle">
      <a:schemeClr val="accent1">
        <a:shade val="50000"/>
      </a:schemeClr>
      <a:schemeClr val="accent1">
        <a:tint val="55000"/>
      </a:schemeClr>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55000"/>
      </a:schemeClr>
    </dgm:fillClrLst>
    <dgm:linClrLst meth="repeat">
      <a:schemeClr val="accent1">
        <a:alpha val="90000"/>
        <a:tint val="55000"/>
      </a:schemeClr>
    </dgm:linClrLst>
    <dgm:effectClrLst/>
    <dgm:txLinClrLst/>
    <dgm:txFillClrLst meth="repeat">
      <a:schemeClr val="dk1"/>
    </dgm:txFillClrLst>
    <dgm:txEffectClrLst/>
  </dgm:styleLbl>
  <dgm:styleLbl name="alignAccFollowNode1">
    <dgm:fillClrLst meth="repeat">
      <a:schemeClr val="accent1">
        <a:alpha val="90000"/>
        <a:tint val="55000"/>
      </a:schemeClr>
    </dgm:fillClrLst>
    <dgm:linClrLst meth="repeat">
      <a:schemeClr val="accent1">
        <a:alpha val="90000"/>
        <a:tint val="55000"/>
      </a:schemeClr>
    </dgm:linClrLst>
    <dgm:effectClrLst/>
    <dgm:txLinClrLst/>
    <dgm:txFillClrLst meth="repeat">
      <a:schemeClr val="dk1"/>
    </dgm:txFillClrLst>
    <dgm:txEffectClrLst/>
  </dgm:styleLbl>
  <dgm:styleLbl name="bgAccFollowNode1">
    <dgm:fillClrLst meth="repeat">
      <a:schemeClr val="accent1">
        <a:alpha val="90000"/>
        <a:tint val="55000"/>
      </a:schemeClr>
    </dgm:fillClrLst>
    <dgm:linClrLst meth="repeat">
      <a:schemeClr val="lt1"/>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a:shade val="80000"/>
      </a:schemeClr>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a:tint val="90000"/>
      </a:schemeClr>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a:tint val="70000"/>
      </a:schemeClr>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a:tint val="50000"/>
      </a:schemeClr>
    </dgm:linClrLst>
    <dgm:effectClrLst/>
    <dgm:txLinClrLst/>
    <dgm:txFillClrLst meth="repeat">
      <a:schemeClr val="dk1"/>
    </dgm:txFillClrLst>
    <dgm:txEffectClrLst/>
  </dgm:styleLbl>
  <dgm:styleLbl name="bgShp">
    <dgm:fillClrLst meth="repeat">
      <a:schemeClr val="accent1">
        <a:tint val="55000"/>
      </a:schemeClr>
    </dgm:fillClrLst>
    <dgm:linClrLst meth="repeat">
      <a:schemeClr val="dk1"/>
    </dgm:linClrLst>
    <dgm:effectClrLst/>
    <dgm:txLinClrLst/>
    <dgm:txFillClrLst meth="repeat">
      <a:schemeClr val="dk1"/>
    </dgm:txFillClrLst>
    <dgm:txEffectClrLst/>
  </dgm:styleLbl>
  <dgm:styleLbl name="dkBgShp">
    <dgm:fillClrLst meth="repeat">
      <a:schemeClr val="accent1">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1">
        <a:tint val="50000"/>
        <a:alpha val="55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55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A15AB8C7-1FFB-43F0-903B-33A45E88DAFA}" type="doc">
      <dgm:prSet loTypeId="urn:microsoft.com/office/officeart/2005/8/layout/chevron1" loCatId="process" qsTypeId="urn:microsoft.com/office/officeart/2005/8/quickstyle/simple1" qsCatId="simple" csTypeId="urn:microsoft.com/office/officeart/2005/8/colors/accent1_4" csCatId="accent1" phldr="1"/>
      <dgm:spPr/>
    </dgm:pt>
    <dgm:pt modelId="{21ACA070-7742-48F5-B36D-5AD7BC8B799A}">
      <dgm:prSet phldrT="[Text]" custT="1"/>
      <dgm:spPr/>
      <dgm:t>
        <a:bodyPr/>
        <a:lstStyle/>
        <a:p>
          <a:r>
            <a:rPr lang="en-GB" sz="1100"/>
            <a:t>Previous activity</a:t>
          </a:r>
        </a:p>
      </dgm:t>
    </dgm:pt>
    <dgm:pt modelId="{988E0914-BA1B-433F-A541-BC5E0D35040F}" type="parTrans" cxnId="{E9BF8B1E-742E-48D3-A847-8510533A89F2}">
      <dgm:prSet/>
      <dgm:spPr/>
      <dgm:t>
        <a:bodyPr/>
        <a:lstStyle/>
        <a:p>
          <a:endParaRPr lang="en-GB" sz="1100"/>
        </a:p>
      </dgm:t>
    </dgm:pt>
    <dgm:pt modelId="{6B9A6215-F89F-42E3-8D27-1E7D9A086A9F}" type="sibTrans" cxnId="{E9BF8B1E-742E-48D3-A847-8510533A89F2}">
      <dgm:prSet/>
      <dgm:spPr/>
      <dgm:t>
        <a:bodyPr/>
        <a:lstStyle/>
        <a:p>
          <a:endParaRPr lang="en-GB" sz="1100"/>
        </a:p>
      </dgm:t>
    </dgm:pt>
    <dgm:pt modelId="{8460B3B2-4795-4890-AD82-5F3D347FB1D5}">
      <dgm:prSet phldrT="[Text]" custT="1"/>
      <dgm:spPr/>
      <dgm:t>
        <a:bodyPr/>
        <a:lstStyle/>
        <a:p>
          <a:r>
            <a:rPr lang="en-GB" sz="1200"/>
            <a:t>Activity in Scope</a:t>
          </a:r>
        </a:p>
      </dgm:t>
    </dgm:pt>
    <dgm:pt modelId="{9E8A1AA6-87E2-4B2E-808A-BBF6EBF43C55}" type="parTrans" cxnId="{C06F3212-FBCF-4EC3-AB43-5EEB5AA8CAF1}">
      <dgm:prSet/>
      <dgm:spPr/>
      <dgm:t>
        <a:bodyPr/>
        <a:lstStyle/>
        <a:p>
          <a:endParaRPr lang="en-GB" sz="1100"/>
        </a:p>
      </dgm:t>
    </dgm:pt>
    <dgm:pt modelId="{E6AAE9C0-4FEA-4788-919B-6C627D3A5951}" type="sibTrans" cxnId="{C06F3212-FBCF-4EC3-AB43-5EEB5AA8CAF1}">
      <dgm:prSet/>
      <dgm:spPr/>
      <dgm:t>
        <a:bodyPr/>
        <a:lstStyle/>
        <a:p>
          <a:endParaRPr lang="en-GB" sz="1100"/>
        </a:p>
      </dgm:t>
    </dgm:pt>
    <dgm:pt modelId="{C1A220F8-BD93-4DA2-85E8-6AC890510D6B}">
      <dgm:prSet phldrT="[Text]" custT="1"/>
      <dgm:spPr/>
      <dgm:t>
        <a:bodyPr/>
        <a:lstStyle/>
        <a:p>
          <a:r>
            <a:rPr lang="en-GB" sz="1100"/>
            <a:t>Next Activity</a:t>
          </a:r>
        </a:p>
      </dgm:t>
    </dgm:pt>
    <dgm:pt modelId="{55339087-D15F-4CEA-AFE7-AC256210BDCB}" type="parTrans" cxnId="{53BBAE7F-B981-4BF8-88F8-874D42D07685}">
      <dgm:prSet/>
      <dgm:spPr/>
      <dgm:t>
        <a:bodyPr/>
        <a:lstStyle/>
        <a:p>
          <a:endParaRPr lang="en-GB" sz="1100"/>
        </a:p>
      </dgm:t>
    </dgm:pt>
    <dgm:pt modelId="{56DE9F9C-C59C-47E4-836B-2D433255CFF4}" type="sibTrans" cxnId="{53BBAE7F-B981-4BF8-88F8-874D42D07685}">
      <dgm:prSet/>
      <dgm:spPr/>
      <dgm:t>
        <a:bodyPr/>
        <a:lstStyle/>
        <a:p>
          <a:endParaRPr lang="en-GB" sz="1100"/>
        </a:p>
      </dgm:t>
    </dgm:pt>
    <dgm:pt modelId="{2A78C464-D26C-470C-AE5E-33E73EDDEB2A}">
      <dgm:prSet custT="1"/>
      <dgm:spPr/>
      <dgm:t>
        <a:bodyPr/>
        <a:lstStyle/>
        <a:p>
          <a:r>
            <a:rPr lang="en-GB" sz="1100"/>
            <a:t>Next Activity</a:t>
          </a:r>
        </a:p>
      </dgm:t>
    </dgm:pt>
    <dgm:pt modelId="{62155AB1-83E8-4048-B600-E8F7E012B7EF}" type="parTrans" cxnId="{19E95493-C7A5-456A-8FC6-CDC1452E3D1F}">
      <dgm:prSet/>
      <dgm:spPr/>
      <dgm:t>
        <a:bodyPr/>
        <a:lstStyle/>
        <a:p>
          <a:endParaRPr lang="en-GB" sz="1100"/>
        </a:p>
      </dgm:t>
    </dgm:pt>
    <dgm:pt modelId="{9D8EAF86-36C6-489B-AFDA-709E78ACA5D1}" type="sibTrans" cxnId="{19E95493-C7A5-456A-8FC6-CDC1452E3D1F}">
      <dgm:prSet/>
      <dgm:spPr/>
      <dgm:t>
        <a:bodyPr/>
        <a:lstStyle/>
        <a:p>
          <a:endParaRPr lang="en-GB" sz="1100"/>
        </a:p>
      </dgm:t>
    </dgm:pt>
    <dgm:pt modelId="{6F56C047-007F-405F-9B89-1FCFF6A66970}" type="pres">
      <dgm:prSet presAssocID="{A15AB8C7-1FFB-43F0-903B-33A45E88DAFA}" presName="Name0" presStyleCnt="0">
        <dgm:presLayoutVars>
          <dgm:dir/>
          <dgm:animLvl val="lvl"/>
          <dgm:resizeHandles val="exact"/>
        </dgm:presLayoutVars>
      </dgm:prSet>
      <dgm:spPr/>
    </dgm:pt>
    <dgm:pt modelId="{CB44AE2A-7BC2-4ACE-8061-FBFFE2403FC0}" type="pres">
      <dgm:prSet presAssocID="{21ACA070-7742-48F5-B36D-5AD7BC8B799A}" presName="parTxOnly" presStyleLbl="node1" presStyleIdx="0" presStyleCnt="4">
        <dgm:presLayoutVars>
          <dgm:chMax val="0"/>
          <dgm:chPref val="0"/>
          <dgm:bulletEnabled val="1"/>
        </dgm:presLayoutVars>
      </dgm:prSet>
      <dgm:spPr/>
    </dgm:pt>
    <dgm:pt modelId="{3F205CB1-1166-45D2-82C5-266738405EEC}" type="pres">
      <dgm:prSet presAssocID="{6B9A6215-F89F-42E3-8D27-1E7D9A086A9F}" presName="parTxOnlySpace" presStyleCnt="0"/>
      <dgm:spPr/>
    </dgm:pt>
    <dgm:pt modelId="{3A40E2C6-9179-46DB-8B40-691432FDA9D6}" type="pres">
      <dgm:prSet presAssocID="{8460B3B2-4795-4890-AD82-5F3D347FB1D5}" presName="parTxOnly" presStyleLbl="node1" presStyleIdx="1" presStyleCnt="4">
        <dgm:presLayoutVars>
          <dgm:chMax val="0"/>
          <dgm:chPref val="0"/>
          <dgm:bulletEnabled val="1"/>
        </dgm:presLayoutVars>
      </dgm:prSet>
      <dgm:spPr/>
    </dgm:pt>
    <dgm:pt modelId="{29EA5566-F55B-4364-88EF-179AEC8ACA26}" type="pres">
      <dgm:prSet presAssocID="{E6AAE9C0-4FEA-4788-919B-6C627D3A5951}" presName="parTxOnlySpace" presStyleCnt="0"/>
      <dgm:spPr/>
    </dgm:pt>
    <dgm:pt modelId="{15F34DC3-BA02-417B-B11B-AC58B93C1700}" type="pres">
      <dgm:prSet presAssocID="{C1A220F8-BD93-4DA2-85E8-6AC890510D6B}" presName="parTxOnly" presStyleLbl="node1" presStyleIdx="2" presStyleCnt="4">
        <dgm:presLayoutVars>
          <dgm:chMax val="0"/>
          <dgm:chPref val="0"/>
          <dgm:bulletEnabled val="1"/>
        </dgm:presLayoutVars>
      </dgm:prSet>
      <dgm:spPr/>
    </dgm:pt>
    <dgm:pt modelId="{1A4CE1D4-1BBD-4D6C-82DA-BCB8157FEF09}" type="pres">
      <dgm:prSet presAssocID="{56DE9F9C-C59C-47E4-836B-2D433255CFF4}" presName="parTxOnlySpace" presStyleCnt="0"/>
      <dgm:spPr/>
    </dgm:pt>
    <dgm:pt modelId="{5E52C037-65A1-4963-8D12-F3F12F1756C0}" type="pres">
      <dgm:prSet presAssocID="{2A78C464-D26C-470C-AE5E-33E73EDDEB2A}" presName="parTxOnly" presStyleLbl="node1" presStyleIdx="3" presStyleCnt="4">
        <dgm:presLayoutVars>
          <dgm:chMax val="0"/>
          <dgm:chPref val="0"/>
          <dgm:bulletEnabled val="1"/>
        </dgm:presLayoutVars>
      </dgm:prSet>
      <dgm:spPr/>
    </dgm:pt>
  </dgm:ptLst>
  <dgm:cxnLst>
    <dgm:cxn modelId="{C06F3212-FBCF-4EC3-AB43-5EEB5AA8CAF1}" srcId="{A15AB8C7-1FFB-43F0-903B-33A45E88DAFA}" destId="{8460B3B2-4795-4890-AD82-5F3D347FB1D5}" srcOrd="1" destOrd="0" parTransId="{9E8A1AA6-87E2-4B2E-808A-BBF6EBF43C55}" sibTransId="{E6AAE9C0-4FEA-4788-919B-6C627D3A5951}"/>
    <dgm:cxn modelId="{E9BF8B1E-742E-48D3-A847-8510533A89F2}" srcId="{A15AB8C7-1FFB-43F0-903B-33A45E88DAFA}" destId="{21ACA070-7742-48F5-B36D-5AD7BC8B799A}" srcOrd="0" destOrd="0" parTransId="{988E0914-BA1B-433F-A541-BC5E0D35040F}" sibTransId="{6B9A6215-F89F-42E3-8D27-1E7D9A086A9F}"/>
    <dgm:cxn modelId="{53BBAE7F-B981-4BF8-88F8-874D42D07685}" srcId="{A15AB8C7-1FFB-43F0-903B-33A45E88DAFA}" destId="{C1A220F8-BD93-4DA2-85E8-6AC890510D6B}" srcOrd="2" destOrd="0" parTransId="{55339087-D15F-4CEA-AFE7-AC256210BDCB}" sibTransId="{56DE9F9C-C59C-47E4-836B-2D433255CFF4}"/>
    <dgm:cxn modelId="{19E95493-C7A5-456A-8FC6-CDC1452E3D1F}" srcId="{A15AB8C7-1FFB-43F0-903B-33A45E88DAFA}" destId="{2A78C464-D26C-470C-AE5E-33E73EDDEB2A}" srcOrd="3" destOrd="0" parTransId="{62155AB1-83E8-4048-B600-E8F7E012B7EF}" sibTransId="{9D8EAF86-36C6-489B-AFDA-709E78ACA5D1}"/>
    <dgm:cxn modelId="{5CE4FD9E-403A-42A9-BC6A-4CA7A970D3F4}" type="presOf" srcId="{C1A220F8-BD93-4DA2-85E8-6AC890510D6B}" destId="{15F34DC3-BA02-417B-B11B-AC58B93C1700}" srcOrd="0" destOrd="0" presId="urn:microsoft.com/office/officeart/2005/8/layout/chevron1"/>
    <dgm:cxn modelId="{E482D1AD-3B5D-4A50-9CDD-F8A2B28D6D59}" type="presOf" srcId="{A15AB8C7-1FFB-43F0-903B-33A45E88DAFA}" destId="{6F56C047-007F-405F-9B89-1FCFF6A66970}" srcOrd="0" destOrd="0" presId="urn:microsoft.com/office/officeart/2005/8/layout/chevron1"/>
    <dgm:cxn modelId="{406CDFB2-6D89-4303-878A-F80F7BE92EDC}" type="presOf" srcId="{21ACA070-7742-48F5-B36D-5AD7BC8B799A}" destId="{CB44AE2A-7BC2-4ACE-8061-FBFFE2403FC0}" srcOrd="0" destOrd="0" presId="urn:microsoft.com/office/officeart/2005/8/layout/chevron1"/>
    <dgm:cxn modelId="{5B79D6F5-BD4B-42F3-9CDB-4BF1A63B0C4D}" type="presOf" srcId="{2A78C464-D26C-470C-AE5E-33E73EDDEB2A}" destId="{5E52C037-65A1-4963-8D12-F3F12F1756C0}" srcOrd="0" destOrd="0" presId="urn:microsoft.com/office/officeart/2005/8/layout/chevron1"/>
    <dgm:cxn modelId="{34FFF1FD-879C-446A-9949-E470DD3E523C}" type="presOf" srcId="{8460B3B2-4795-4890-AD82-5F3D347FB1D5}" destId="{3A40E2C6-9179-46DB-8B40-691432FDA9D6}" srcOrd="0" destOrd="0" presId="urn:microsoft.com/office/officeart/2005/8/layout/chevron1"/>
    <dgm:cxn modelId="{AB08F9FD-4E4E-48C5-8BBE-8E66F2750508}" type="presParOf" srcId="{6F56C047-007F-405F-9B89-1FCFF6A66970}" destId="{CB44AE2A-7BC2-4ACE-8061-FBFFE2403FC0}" srcOrd="0" destOrd="0" presId="urn:microsoft.com/office/officeart/2005/8/layout/chevron1"/>
    <dgm:cxn modelId="{56548DFF-DD31-43AF-A934-3E4CC889399C}" type="presParOf" srcId="{6F56C047-007F-405F-9B89-1FCFF6A66970}" destId="{3F205CB1-1166-45D2-82C5-266738405EEC}" srcOrd="1" destOrd="0" presId="urn:microsoft.com/office/officeart/2005/8/layout/chevron1"/>
    <dgm:cxn modelId="{854904F2-1396-4011-A0B4-27EAC13E14ED}" type="presParOf" srcId="{6F56C047-007F-405F-9B89-1FCFF6A66970}" destId="{3A40E2C6-9179-46DB-8B40-691432FDA9D6}" srcOrd="2" destOrd="0" presId="urn:microsoft.com/office/officeart/2005/8/layout/chevron1"/>
    <dgm:cxn modelId="{88707C5C-12D8-4C0B-B474-ABFAD2042142}" type="presParOf" srcId="{6F56C047-007F-405F-9B89-1FCFF6A66970}" destId="{29EA5566-F55B-4364-88EF-179AEC8ACA26}" srcOrd="3" destOrd="0" presId="urn:microsoft.com/office/officeart/2005/8/layout/chevron1"/>
    <dgm:cxn modelId="{29920745-A58C-4300-8311-EA2223686E30}" type="presParOf" srcId="{6F56C047-007F-405F-9B89-1FCFF6A66970}" destId="{15F34DC3-BA02-417B-B11B-AC58B93C1700}" srcOrd="4" destOrd="0" presId="urn:microsoft.com/office/officeart/2005/8/layout/chevron1"/>
    <dgm:cxn modelId="{85F74BB2-70D4-48D1-B82C-35EF5CE9A7DE}" type="presParOf" srcId="{6F56C047-007F-405F-9B89-1FCFF6A66970}" destId="{1A4CE1D4-1BBD-4D6C-82DA-BCB8157FEF09}" srcOrd="5" destOrd="0" presId="urn:microsoft.com/office/officeart/2005/8/layout/chevron1"/>
    <dgm:cxn modelId="{C6FFD303-E2AC-4E38-8E20-52C74CCE40BA}" type="presParOf" srcId="{6F56C047-007F-405F-9B89-1FCFF6A66970}" destId="{5E52C037-65A1-4963-8D12-F3F12F1756C0}" srcOrd="6" destOrd="0" presId="urn:microsoft.com/office/officeart/2005/8/layout/chevron1"/>
  </dgm:cxnLst>
  <dgm:bg/>
  <dgm:whole/>
  <dgm:extLst>
    <a:ext uri="http://schemas.microsoft.com/office/drawing/2008/diagram">
      <dsp:dataModelExt xmlns:dsp="http://schemas.microsoft.com/office/drawing/2008/diagram" relId="rId5" minVer="http://schemas.openxmlformats.org/drawingml/2006/diagram"/>
    </a:ext>
    <a:ext uri="{C62137D5-CB1D-491B-B009-E17868A290BF}">
      <dgm14:recolorImg xmlns:dgm14="http://schemas.microsoft.com/office/drawing/2010/diagram" val="1"/>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CB44AE2A-7BC2-4ACE-8061-FBFFE2403FC0}">
      <dsp:nvSpPr>
        <dsp:cNvPr id="0" name=""/>
        <dsp:cNvSpPr/>
      </dsp:nvSpPr>
      <dsp:spPr>
        <a:xfrm>
          <a:off x="2118" y="88682"/>
          <a:ext cx="1232986" cy="493194"/>
        </a:xfrm>
        <a:prstGeom prst="chevron">
          <a:avLst/>
        </a:prstGeom>
        <a:solidFill>
          <a:schemeClr val="accent1">
            <a:shade val="50000"/>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44006" tIns="14669" rIns="14669" bIns="14669" numCol="1" spcCol="1270" anchor="ctr" anchorCtr="0">
          <a:noAutofit/>
        </a:bodyPr>
        <a:lstStyle/>
        <a:p>
          <a:pPr marL="0" lvl="0" indent="0" algn="ctr" defTabSz="488950">
            <a:lnSpc>
              <a:spcPct val="90000"/>
            </a:lnSpc>
            <a:spcBef>
              <a:spcPct val="0"/>
            </a:spcBef>
            <a:spcAft>
              <a:spcPct val="35000"/>
            </a:spcAft>
            <a:buNone/>
          </a:pPr>
          <a:r>
            <a:rPr lang="en-GB" sz="1100" kern="1200"/>
            <a:t>Previous activity</a:t>
          </a:r>
        </a:p>
      </dsp:txBody>
      <dsp:txXfrm>
        <a:off x="248715" y="88682"/>
        <a:ext cx="739792" cy="493194"/>
      </dsp:txXfrm>
    </dsp:sp>
    <dsp:sp modelId="{3A40E2C6-9179-46DB-8B40-691432FDA9D6}">
      <dsp:nvSpPr>
        <dsp:cNvPr id="0" name=""/>
        <dsp:cNvSpPr/>
      </dsp:nvSpPr>
      <dsp:spPr>
        <a:xfrm>
          <a:off x="1111805" y="88682"/>
          <a:ext cx="1232986" cy="493194"/>
        </a:xfrm>
        <a:prstGeom prst="chevron">
          <a:avLst/>
        </a:prstGeom>
        <a:solidFill>
          <a:schemeClr val="accent1">
            <a:shade val="50000"/>
            <a:hueOff val="141898"/>
            <a:satOff val="-28609"/>
            <a:lumOff val="29612"/>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48006" tIns="16002" rIns="16002" bIns="16002" numCol="1" spcCol="1270" anchor="ctr" anchorCtr="0">
          <a:noAutofit/>
        </a:bodyPr>
        <a:lstStyle/>
        <a:p>
          <a:pPr marL="0" lvl="0" indent="0" algn="ctr" defTabSz="533400">
            <a:lnSpc>
              <a:spcPct val="90000"/>
            </a:lnSpc>
            <a:spcBef>
              <a:spcPct val="0"/>
            </a:spcBef>
            <a:spcAft>
              <a:spcPct val="35000"/>
            </a:spcAft>
            <a:buNone/>
          </a:pPr>
          <a:r>
            <a:rPr lang="en-GB" sz="1200" kern="1200"/>
            <a:t>Activity in Scope</a:t>
          </a:r>
        </a:p>
      </dsp:txBody>
      <dsp:txXfrm>
        <a:off x="1358402" y="88682"/>
        <a:ext cx="739792" cy="493194"/>
      </dsp:txXfrm>
    </dsp:sp>
    <dsp:sp modelId="{15F34DC3-BA02-417B-B11B-AC58B93C1700}">
      <dsp:nvSpPr>
        <dsp:cNvPr id="0" name=""/>
        <dsp:cNvSpPr/>
      </dsp:nvSpPr>
      <dsp:spPr>
        <a:xfrm>
          <a:off x="2221493" y="88682"/>
          <a:ext cx="1232986" cy="493194"/>
        </a:xfrm>
        <a:prstGeom prst="chevron">
          <a:avLst/>
        </a:prstGeom>
        <a:solidFill>
          <a:schemeClr val="accent1">
            <a:shade val="50000"/>
            <a:hueOff val="283797"/>
            <a:satOff val="-57217"/>
            <a:lumOff val="59224"/>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44006" tIns="14669" rIns="14669" bIns="14669" numCol="1" spcCol="1270" anchor="ctr" anchorCtr="0">
          <a:noAutofit/>
        </a:bodyPr>
        <a:lstStyle/>
        <a:p>
          <a:pPr marL="0" lvl="0" indent="0" algn="ctr" defTabSz="488950">
            <a:lnSpc>
              <a:spcPct val="90000"/>
            </a:lnSpc>
            <a:spcBef>
              <a:spcPct val="0"/>
            </a:spcBef>
            <a:spcAft>
              <a:spcPct val="35000"/>
            </a:spcAft>
            <a:buNone/>
          </a:pPr>
          <a:r>
            <a:rPr lang="en-GB" sz="1100" kern="1200"/>
            <a:t>Next Activity</a:t>
          </a:r>
        </a:p>
      </dsp:txBody>
      <dsp:txXfrm>
        <a:off x="2468090" y="88682"/>
        <a:ext cx="739792" cy="493194"/>
      </dsp:txXfrm>
    </dsp:sp>
    <dsp:sp modelId="{5E52C037-65A1-4963-8D12-F3F12F1756C0}">
      <dsp:nvSpPr>
        <dsp:cNvPr id="0" name=""/>
        <dsp:cNvSpPr/>
      </dsp:nvSpPr>
      <dsp:spPr>
        <a:xfrm>
          <a:off x="3331180" y="88682"/>
          <a:ext cx="1232986" cy="493194"/>
        </a:xfrm>
        <a:prstGeom prst="chevron">
          <a:avLst/>
        </a:prstGeom>
        <a:solidFill>
          <a:schemeClr val="accent1">
            <a:shade val="50000"/>
            <a:hueOff val="141898"/>
            <a:satOff val="-28609"/>
            <a:lumOff val="29612"/>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44006" tIns="14669" rIns="14669" bIns="14669" numCol="1" spcCol="1270" anchor="ctr" anchorCtr="0">
          <a:noAutofit/>
        </a:bodyPr>
        <a:lstStyle/>
        <a:p>
          <a:pPr marL="0" lvl="0" indent="0" algn="ctr" defTabSz="488950">
            <a:lnSpc>
              <a:spcPct val="90000"/>
            </a:lnSpc>
            <a:spcBef>
              <a:spcPct val="0"/>
            </a:spcBef>
            <a:spcAft>
              <a:spcPct val="35000"/>
            </a:spcAft>
            <a:buNone/>
          </a:pPr>
          <a:r>
            <a:rPr lang="en-GB" sz="1100" kern="1200"/>
            <a:t>Next Activity</a:t>
          </a:r>
        </a:p>
      </dsp:txBody>
      <dsp:txXfrm>
        <a:off x="3577777" y="88682"/>
        <a:ext cx="739792" cy="493194"/>
      </dsp:txXfrm>
    </dsp:sp>
  </dsp:spTree>
</dsp:drawing>
</file>

<file path=xl/diagrams/layout1.xml><?xml version="1.0" encoding="utf-8"?>
<dgm:layoutDef xmlns:dgm="http://schemas.openxmlformats.org/drawingml/2006/diagram" xmlns:a="http://schemas.openxmlformats.org/drawingml/2006/main" uniqueId="urn:microsoft.com/office/officeart/2005/8/layout/chevron1">
  <dgm:title val=""/>
  <dgm:desc val=""/>
  <dgm:catLst>
    <dgm:cat type="process" pri="9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dgm:varLst>
      <dgm:dir/>
      <dgm:animLvl val="lvl"/>
      <dgm:resizeHandles val="exact"/>
    </dgm:varLst>
    <dgm:choose name="Name1">
      <dgm:if name="Name2" func="var" arg="dir" op="equ" val="norm">
        <dgm:alg type="lin"/>
      </dgm:if>
      <dgm:else name="Name3">
        <dgm:alg type="lin">
          <dgm:param type="linDir" val="fromR"/>
        </dgm:alg>
      </dgm:else>
    </dgm:choose>
    <dgm:shape xmlns:r="http://schemas.openxmlformats.org/officeDocument/2006/relationships" r:blip="">
      <dgm:adjLst/>
    </dgm:shape>
    <dgm:presOf/>
    <dgm:choose name="Name4">
      <dgm:if name="Name5" axis="des" func="maxDepth" op="gte" val="2">
        <dgm:constrLst>
          <dgm:constr type="h" for="ch" forName="composite" refType="h"/>
          <dgm:constr type="w" for="ch" forName="composite" refType="w"/>
          <dgm:constr type="w" for="des" forName="parTx"/>
          <dgm:constr type="h" for="des" forName="parTx" op="equ"/>
          <dgm:constr type="w" for="des" forName="desTx"/>
          <dgm:constr type="h" for="des" forName="desTx" op="equ"/>
          <dgm:constr type="primFontSz" for="des" forName="parTx" val="65"/>
          <dgm:constr type="secFontSz" for="des" forName="desTx" refType="primFontSz" refFor="des" refForName="parTx" op="equ"/>
          <dgm:constr type="h" for="des" forName="parTx" refType="primFontSz" refFor="des" refForName="parTx" fact="1.5"/>
          <dgm:constr type="h" for="des" forName="desTx" refType="primFontSz" refFor="des" refForName="parTx" fact="0.5"/>
          <dgm:constr type="w" for="ch" forName="space" op="equ" val="-6"/>
        </dgm:constrLst>
        <dgm:ruleLst>
          <dgm:rule type="w" for="ch" forName="composite" val="0" fact="NaN" max="NaN"/>
          <dgm:rule type="primFontSz" for="des" forName="parTx" val="5" fact="NaN" max="NaN"/>
        </dgm:ruleLst>
        <dgm:forEach name="Name6" axis="ch" ptType="node">
          <dgm:layoutNode name="composite">
            <dgm:alg type="composite"/>
            <dgm:shape xmlns:r="http://schemas.openxmlformats.org/officeDocument/2006/relationships" r:blip="">
              <dgm:adjLst/>
            </dgm:shape>
            <dgm:presOf/>
            <dgm:choose name="Name7">
              <dgm:if name="Name8" func="var" arg="dir" op="equ" val="norm">
                <dgm:constrLst>
                  <dgm:constr type="l" for="ch" forName="parTx"/>
                  <dgm:constr type="w" for="ch" forName="parTx" refType="w"/>
                  <dgm:constr type="t" for="ch" forName="parTx"/>
                  <dgm:constr type="l" for="ch" forName="desTx"/>
                  <dgm:constr type="w" for="ch" forName="desTx" refType="w" refFor="ch" refForName="parTx" fact="0.8"/>
                  <dgm:constr type="t" for="ch" forName="desTx" refType="h" refFor="ch" refForName="parTx" fact="1.125"/>
                </dgm:constrLst>
              </dgm:if>
              <dgm:else name="Name9">
                <dgm:constrLst>
                  <dgm:constr type="l" for="ch" forName="parTx"/>
                  <dgm:constr type="w" for="ch" forName="parTx" refType="w"/>
                  <dgm:constr type="t" for="ch" forName="parTx"/>
                  <dgm:constr type="l" for="ch" forName="desTx" refType="w" fact="0.2"/>
                  <dgm:constr type="w" for="ch" forName="desTx" refType="w" refFor="ch" refForName="parTx" fact="0.8"/>
                  <dgm:constr type="t" for="ch" forName="desTx" refType="h" refFor="ch" refForName="parTx" fact="1.125"/>
                </dgm:constrLst>
              </dgm:else>
            </dgm:choose>
            <dgm:ruleLst>
              <dgm:rule type="h" val="INF" fact="NaN" max="NaN"/>
            </dgm:ruleLst>
            <dgm:layoutNode name="parTx">
              <dgm:varLst>
                <dgm:chMax val="0"/>
                <dgm:chPref val="0"/>
                <dgm:bulletEnabled val="1"/>
              </dgm:varLst>
              <dgm:alg type="tx"/>
              <dgm:choose name="Name10">
                <dgm:if name="Name11" func="var" arg="dir" op="equ" val="norm">
                  <dgm:shape xmlns:r="http://schemas.openxmlformats.org/officeDocument/2006/relationships" type="chevron" r:blip="">
                    <dgm:adjLst/>
                  </dgm:shape>
                </dgm:if>
                <dgm:else name="Name12">
                  <dgm:shape xmlns:r="http://schemas.openxmlformats.org/officeDocument/2006/relationships" rot="180" type="chevron" r:blip="">
                    <dgm:adjLst/>
                  </dgm:shape>
                </dgm:else>
              </dgm:choose>
              <dgm:presOf axis="self" ptType="node"/>
              <dgm:choose name="Name13">
                <dgm:if name="Name14" func="var" arg="dir" op="equ" val="norm">
                  <dgm:constrLst>
                    <dgm:constr type="h" refType="w" op="lte" fact="0.4"/>
                    <dgm:constr type="h"/>
                    <dgm:constr type="tMarg" refType="primFontSz" fact="0.105"/>
                    <dgm:constr type="bMarg" refType="primFontSz" fact="0.105"/>
                    <dgm:constr type="lMarg" refType="primFontSz" fact="0.315"/>
                    <dgm:constr type="rMarg" refType="primFontSz" fact="0.105"/>
                  </dgm:constrLst>
                </dgm:if>
                <dgm:else name="Name15">
                  <dgm:constrLst>
                    <dgm:constr type="h" refType="w" op="lte" fact="0.4"/>
                    <dgm:constr type="h"/>
                    <dgm:constr type="tMarg" refType="primFontSz" fact="0.105"/>
                    <dgm:constr type="bMarg" refType="primFontSz" fact="0.105"/>
                    <dgm:constr type="lMarg" refType="primFontSz" fact="0.105"/>
                    <dgm:constr type="rMarg" refType="primFontSz" fact="0.315"/>
                  </dgm:constrLst>
                </dgm:else>
              </dgm:choose>
              <dgm:ruleLst>
                <dgm:rule type="h" val="INF" fact="NaN" max="NaN"/>
              </dgm:ruleLst>
            </dgm:layoutNode>
            <dgm:layoutNode name="desTx" styleLbl="revTx">
              <dgm:varLst>
                <dgm:bulletEnabled val="1"/>
              </dgm:varLst>
              <dgm:alg type="tx">
                <dgm:param type="stBulletLvl" val="1"/>
              </dgm:alg>
              <dgm:choose name="Name16">
                <dgm:if name="Name17" axis="ch" ptType="node" func="cnt" op="gte" val="1">
                  <dgm:shape xmlns:r="http://schemas.openxmlformats.org/officeDocument/2006/relationships" type="rect" r:blip="">
                    <dgm:adjLst/>
                  </dgm:shape>
                </dgm:if>
                <dgm:else name="Name18">
                  <dgm:shape xmlns:r="http://schemas.openxmlformats.org/officeDocument/2006/relationships" type="rect" r:blip="" hideGeom="1">
                    <dgm:adjLst/>
                  </dgm:shape>
                </dgm:else>
              </dgm:choose>
              <dgm:presOf axis="des" ptType="node"/>
              <dgm:constrLst>
                <dgm:constr type="secFontSz" val="65"/>
                <dgm:constr type="primFontSz" refType="secFontSz"/>
                <dgm:constr type="h"/>
                <dgm:constr type="tMarg"/>
                <dgm:constr type="bMarg"/>
                <dgm:constr type="rMarg"/>
                <dgm:constr type="lMarg"/>
              </dgm:constrLst>
              <dgm:ruleLst>
                <dgm:rule type="h" val="INF" fact="NaN" max="NaN"/>
              </dgm:ruleLst>
            </dgm:layoutNode>
          </dgm:layoutNode>
          <dgm:forEach name="Name19" axis="followSib" ptType="sibTrans" cnt="1">
            <dgm:layoutNode name="space">
              <dgm:alg type="sp"/>
              <dgm:shape xmlns:r="http://schemas.openxmlformats.org/officeDocument/2006/relationships" r:blip="">
                <dgm:adjLst/>
              </dgm:shape>
              <dgm:presOf/>
              <dgm:constrLst/>
              <dgm:ruleLst/>
            </dgm:layoutNode>
          </dgm:forEach>
        </dgm:forEach>
      </dgm:if>
      <dgm:else name="Name20">
        <dgm:constrLst>
          <dgm:constr type="w" for="ch" forName="parTxOnly" refType="w"/>
          <dgm:constr type="h" for="des" forName="parTxOnly" op="equ"/>
          <dgm:constr type="primFontSz" for="des" forName="parTxOnly" op="equ" val="65"/>
          <dgm:constr type="w" for="ch" forName="parTxOnlySpace" refType="w" refFor="ch" refForName="parTxOnly" fact="-0.1"/>
        </dgm:constrLst>
        <dgm:ruleLst/>
        <dgm:forEach name="Name21" axis="ch" ptType="node">
          <dgm:layoutNode name="parTxOnly">
            <dgm:varLst>
              <dgm:chMax val="0"/>
              <dgm:chPref val="0"/>
              <dgm:bulletEnabled val="1"/>
            </dgm:varLst>
            <dgm:alg type="tx"/>
            <dgm:choose name="Name22">
              <dgm:if name="Name23" func="var" arg="dir" op="equ" val="norm">
                <dgm:shape xmlns:r="http://schemas.openxmlformats.org/officeDocument/2006/relationships" type="chevron" r:blip="">
                  <dgm:adjLst/>
                </dgm:shape>
              </dgm:if>
              <dgm:else name="Name24">
                <dgm:shape xmlns:r="http://schemas.openxmlformats.org/officeDocument/2006/relationships" rot="180" type="chevron" r:blip="">
                  <dgm:adjLst/>
                </dgm:shape>
              </dgm:else>
            </dgm:choose>
            <dgm:presOf axis="self" ptType="node"/>
            <dgm:choose name="Name25">
              <dgm:if name="Name26" func="var" arg="dir" op="equ" val="norm">
                <dgm:constrLst>
                  <dgm:constr type="h" refType="w" op="equ" fact="0.4"/>
                  <dgm:constr type="tMarg" refType="primFontSz" fact="0.105"/>
                  <dgm:constr type="bMarg" refType="primFontSz" fact="0.105"/>
                  <dgm:constr type="lMarg" refType="primFontSz" fact="0.315"/>
                  <dgm:constr type="rMarg" refType="primFontSz" fact="0.105"/>
                </dgm:constrLst>
              </dgm:if>
              <dgm:else name="Name27">
                <dgm:constrLst>
                  <dgm:constr type="h" refType="w" op="equ" fact="0.4"/>
                  <dgm:constr type="tMarg" refType="primFontSz" fact="0.105"/>
                  <dgm:constr type="bMarg" refType="primFontSz" fact="0.105"/>
                  <dgm:constr type="lMarg" refType="primFontSz" fact="0.105"/>
                  <dgm:constr type="rMarg" refType="primFontSz" fact="0.315"/>
                </dgm:constrLst>
              </dgm:else>
            </dgm:choose>
            <dgm:ruleLst>
              <dgm:rule type="primFontSz" val="5" fact="NaN" max="NaN"/>
            </dgm:ruleLst>
          </dgm:layoutNode>
          <dgm:forEach name="Name28" axis="followSib" ptType="sibTrans" cnt="1">
            <dgm:layoutNode name="parTxOnlySpace">
              <dgm:alg type="sp"/>
              <dgm:shape xmlns:r="http://schemas.openxmlformats.org/officeDocument/2006/relationships" r:blip="">
                <dgm:adjLst/>
              </dgm:shape>
              <dgm:presOf/>
              <dgm:constrLst/>
              <dgm:ruleLst/>
            </dgm:layoutNode>
          </dgm:forEach>
        </dgm:forEach>
      </dgm:else>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_rels/drawing4.xml.rels><?xml version="1.0" encoding="UTF-8" standalone="yes"?>
<Relationships xmlns="http://schemas.openxmlformats.org/package/2006/relationships"><Relationship Id="rId1" Type="http://schemas.openxmlformats.org/officeDocument/2006/relationships/image" Target="../media/image2.gif"/></Relationships>
</file>

<file path=xl/drawings/_rels/drawing6.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image" Target="../media/image3.jpeg"/></Relationships>
</file>

<file path=xl/drawings/_rels/drawing9.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5.xml.rels><?xml version="1.0" encoding="UTF-8" standalone="yes"?>
<Relationships xmlns="http://schemas.openxmlformats.org/package/2006/relationships"><Relationship Id="rId3" Type="http://schemas.openxmlformats.org/officeDocument/2006/relationships/hyperlink" Target="#'C chart'!A1"/><Relationship Id="rId2" Type="http://schemas.openxmlformats.org/officeDocument/2006/relationships/hyperlink" Target="#'I mR chart'!A1"/><Relationship Id="rId1" Type="http://schemas.openxmlformats.org/officeDocument/2006/relationships/hyperlink" Target="#'Xbar mR chart'!A1"/><Relationship Id="rId6" Type="http://schemas.openxmlformats.org/officeDocument/2006/relationships/hyperlink" Target="#'P chart'!A1"/><Relationship Id="rId5" Type="http://schemas.openxmlformats.org/officeDocument/2006/relationships/hyperlink" Target="#'np chart'!A1"/><Relationship Id="rId4" Type="http://schemas.openxmlformats.org/officeDocument/2006/relationships/hyperlink" Target="#'U chart'!A1"/></Relationships>
</file>

<file path=xl/drawings/_rels/drawing1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chart" Target="../charts/chart11.xml"/><Relationship Id="rId1" Type="http://schemas.openxmlformats.org/officeDocument/2006/relationships/chart" Target="../charts/chart10.xml"/></Relationships>
</file>

<file path=xl/drawings/_rels/drawing17.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chart" Target="../charts/chart12.xml"/></Relationships>
</file>

<file path=xl/drawings/_rels/drawing18.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chart" Target="../charts/chart13.xml"/></Relationships>
</file>

<file path=xl/drawings/_rels/drawing19.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chart" Target="../charts/chart14.xml"/></Relationships>
</file>

<file path=xl/drawings/_rels/drawing20.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chart" Target="../charts/chart15.xml"/></Relationships>
</file>

<file path=xl/drawings/_rels/drawing21.xml.rels><?xml version="1.0" encoding="UTF-8" standalone="yes"?>
<Relationships xmlns="http://schemas.openxmlformats.org/package/2006/relationships"><Relationship Id="rId2" Type="http://schemas.openxmlformats.org/officeDocument/2006/relationships/chart" Target="../charts/chart17.xml"/><Relationship Id="rId1" Type="http://schemas.openxmlformats.org/officeDocument/2006/relationships/chart" Target="../charts/chart16.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7.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28.xml.rels><?xml version="1.0" encoding="UTF-8" standalone="yes"?>
<Relationships xmlns="http://schemas.openxmlformats.org/package/2006/relationships"><Relationship Id="rId3" Type="http://schemas.openxmlformats.org/officeDocument/2006/relationships/chart" Target="../charts/chart23.xml"/><Relationship Id="rId7" Type="http://schemas.openxmlformats.org/officeDocument/2006/relationships/chart" Target="../charts/chart27.xml"/><Relationship Id="rId2" Type="http://schemas.openxmlformats.org/officeDocument/2006/relationships/chart" Target="../charts/chart22.xml"/><Relationship Id="rId1" Type="http://schemas.openxmlformats.org/officeDocument/2006/relationships/chart" Target="../charts/chart21.xml"/><Relationship Id="rId6" Type="http://schemas.openxmlformats.org/officeDocument/2006/relationships/chart" Target="../charts/chart26.xml"/><Relationship Id="rId5" Type="http://schemas.openxmlformats.org/officeDocument/2006/relationships/chart" Target="../charts/chart25.xml"/><Relationship Id="rId4" Type="http://schemas.openxmlformats.org/officeDocument/2006/relationships/chart" Target="../charts/chart24.xml"/></Relationships>
</file>

<file path=xl/drawings/_rels/drawing29.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image" Target="../media/image10.png"/><Relationship Id="rId1" Type="http://schemas.openxmlformats.org/officeDocument/2006/relationships/image" Target="../media/image9.png"/><Relationship Id="rId4" Type="http://schemas.openxmlformats.org/officeDocument/2006/relationships/image" Target="../media/image12.png"/></Relationships>
</file>

<file path=xl/drawings/_rels/drawing31.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33.xml.rels><?xml version="1.0" encoding="UTF-8" standalone="yes"?>
<Relationships xmlns="http://schemas.openxmlformats.org/package/2006/relationships"><Relationship Id="rId1" Type="http://schemas.microsoft.com/office/2014/relationships/chartEx" Target="../charts/chartEx1.xml"/></Relationships>
</file>

<file path=xl/drawings/_rels/vmlDrawing11.vml.rels><?xml version="1.0" encoding="UTF-8" standalone="yes"?>
<Relationships xmlns="http://schemas.openxmlformats.org/package/2006/relationships"><Relationship Id="rId2" Type="http://schemas.openxmlformats.org/officeDocument/2006/relationships/image" Target="../media/image5.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5</xdr:col>
      <xdr:colOff>57151</xdr:colOff>
      <xdr:row>13</xdr:row>
      <xdr:rowOff>38100</xdr:rowOff>
    </xdr:from>
    <xdr:to>
      <xdr:col>6</xdr:col>
      <xdr:colOff>876301</xdr:colOff>
      <xdr:row>16</xdr:row>
      <xdr:rowOff>162293</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5695951" y="1562100"/>
          <a:ext cx="2362200" cy="10766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15240</xdr:colOff>
      <xdr:row>3</xdr:row>
      <xdr:rowOff>15240</xdr:rowOff>
    </xdr:from>
    <xdr:to>
      <xdr:col>2</xdr:col>
      <xdr:colOff>144780</xdr:colOff>
      <xdr:row>4</xdr:row>
      <xdr:rowOff>152400</xdr:rowOff>
    </xdr:to>
    <xdr:cxnSp macro="">
      <xdr:nvCxnSpPr>
        <xdr:cNvPr id="2" name="Straight Arrow Connector 1">
          <a:extLst>
            <a:ext uri="{FF2B5EF4-FFF2-40B4-BE49-F238E27FC236}">
              <a16:creationId xmlns:a16="http://schemas.microsoft.com/office/drawing/2014/main" id="{00000000-0008-0000-0500-000002000000}"/>
            </a:ext>
          </a:extLst>
        </xdr:cNvPr>
        <xdr:cNvCxnSpPr/>
      </xdr:nvCxnSpPr>
      <xdr:spPr>
        <a:xfrm flipH="1">
          <a:off x="2783840" y="586740"/>
          <a:ext cx="129540" cy="327660"/>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914400</xdr:colOff>
      <xdr:row>3</xdr:row>
      <xdr:rowOff>7620</xdr:rowOff>
    </xdr:from>
    <xdr:to>
      <xdr:col>3</xdr:col>
      <xdr:colOff>0</xdr:colOff>
      <xdr:row>4</xdr:row>
      <xdr:rowOff>160020</xdr:rowOff>
    </xdr:to>
    <xdr:cxnSp macro="">
      <xdr:nvCxnSpPr>
        <xdr:cNvPr id="3" name="Straight Arrow Connector 2">
          <a:extLst>
            <a:ext uri="{FF2B5EF4-FFF2-40B4-BE49-F238E27FC236}">
              <a16:creationId xmlns:a16="http://schemas.microsoft.com/office/drawing/2014/main" id="{00000000-0008-0000-0500-000003000000}"/>
            </a:ext>
          </a:extLst>
        </xdr:cNvPr>
        <xdr:cNvCxnSpPr/>
      </xdr:nvCxnSpPr>
      <xdr:spPr>
        <a:xfrm>
          <a:off x="3683000" y="579120"/>
          <a:ext cx="469900" cy="342900"/>
        </a:xfrm>
        <a:prstGeom prst="straightConnector1">
          <a:avLst/>
        </a:prstGeom>
        <a:ln w="28575">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297180</xdr:colOff>
      <xdr:row>0</xdr:row>
      <xdr:rowOff>38100</xdr:rowOff>
    </xdr:from>
    <xdr:to>
      <xdr:col>4</xdr:col>
      <xdr:colOff>701040</xdr:colOff>
      <xdr:row>3</xdr:row>
      <xdr:rowOff>114300</xdr:rowOff>
    </xdr:to>
    <xdr:graphicFrame macro="">
      <xdr:nvGraphicFramePr>
        <xdr:cNvPr id="4" name="Diagram 3">
          <a:extLst>
            <a:ext uri="{FF2B5EF4-FFF2-40B4-BE49-F238E27FC236}">
              <a16:creationId xmlns:a16="http://schemas.microsoft.com/office/drawing/2014/main" id="{00000000-0008-0000-0500-000004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4354</xdr:colOff>
      <xdr:row>11</xdr:row>
      <xdr:rowOff>209005</xdr:rowOff>
    </xdr:from>
    <xdr:to>
      <xdr:col>2</xdr:col>
      <xdr:colOff>13064</xdr:colOff>
      <xdr:row>11</xdr:row>
      <xdr:rowOff>209016</xdr:rowOff>
    </xdr:to>
    <xdr:cxnSp macro="">
      <xdr:nvCxnSpPr>
        <xdr:cNvPr id="2" name="Straight Arrow Connector 1">
          <a:extLst>
            <a:ext uri="{FF2B5EF4-FFF2-40B4-BE49-F238E27FC236}">
              <a16:creationId xmlns:a16="http://schemas.microsoft.com/office/drawing/2014/main" id="{00000000-0008-0000-0600-000002000000}"/>
            </a:ext>
          </a:extLst>
        </xdr:cNvPr>
        <xdr:cNvCxnSpPr/>
      </xdr:nvCxnSpPr>
      <xdr:spPr>
        <a:xfrm>
          <a:off x="791754" y="2266405"/>
          <a:ext cx="377010" cy="11"/>
        </a:xfrm>
        <a:prstGeom prst="straightConnector1">
          <a:avLst/>
        </a:prstGeom>
        <a:ln>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xdr:col>
      <xdr:colOff>8708</xdr:colOff>
      <xdr:row>6</xdr:row>
      <xdr:rowOff>114302</xdr:rowOff>
    </xdr:from>
    <xdr:to>
      <xdr:col>2</xdr:col>
      <xdr:colOff>0</xdr:colOff>
      <xdr:row>11</xdr:row>
      <xdr:rowOff>217714</xdr:rowOff>
    </xdr:to>
    <xdr:cxnSp macro="">
      <xdr:nvCxnSpPr>
        <xdr:cNvPr id="3" name="Straight Arrow Connector 2">
          <a:extLst>
            <a:ext uri="{FF2B5EF4-FFF2-40B4-BE49-F238E27FC236}">
              <a16:creationId xmlns:a16="http://schemas.microsoft.com/office/drawing/2014/main" id="{00000000-0008-0000-0600-000003000000}"/>
            </a:ext>
          </a:extLst>
        </xdr:cNvPr>
        <xdr:cNvCxnSpPr/>
      </xdr:nvCxnSpPr>
      <xdr:spPr>
        <a:xfrm flipV="1">
          <a:off x="796108" y="1219202"/>
          <a:ext cx="359592" cy="1055912"/>
        </a:xfrm>
        <a:prstGeom prst="straightConnector1">
          <a:avLst/>
        </a:prstGeom>
        <a:ln>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4</xdr:col>
      <xdr:colOff>7620</xdr:colOff>
      <xdr:row>5</xdr:row>
      <xdr:rowOff>131380</xdr:rowOff>
    </xdr:from>
    <xdr:to>
      <xdr:col>5</xdr:col>
      <xdr:colOff>0</xdr:colOff>
      <xdr:row>6</xdr:row>
      <xdr:rowOff>91440</xdr:rowOff>
    </xdr:to>
    <xdr:cxnSp macro="">
      <xdr:nvCxnSpPr>
        <xdr:cNvPr id="4" name="Straight Arrow Connector 3">
          <a:extLst>
            <a:ext uri="{FF2B5EF4-FFF2-40B4-BE49-F238E27FC236}">
              <a16:creationId xmlns:a16="http://schemas.microsoft.com/office/drawing/2014/main" id="{00000000-0008-0000-0600-000004000000}"/>
            </a:ext>
          </a:extLst>
        </xdr:cNvPr>
        <xdr:cNvCxnSpPr/>
      </xdr:nvCxnSpPr>
      <xdr:spPr>
        <a:xfrm flipV="1">
          <a:off x="2458720" y="1033080"/>
          <a:ext cx="360680" cy="16326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7620</xdr:colOff>
      <xdr:row>6</xdr:row>
      <xdr:rowOff>99060</xdr:rowOff>
    </xdr:from>
    <xdr:to>
      <xdr:col>4</xdr:col>
      <xdr:colOff>310056</xdr:colOff>
      <xdr:row>7</xdr:row>
      <xdr:rowOff>120869</xdr:rowOff>
    </xdr:to>
    <xdr:cxnSp macro="">
      <xdr:nvCxnSpPr>
        <xdr:cNvPr id="5" name="Straight Arrow Connector 4">
          <a:extLst>
            <a:ext uri="{FF2B5EF4-FFF2-40B4-BE49-F238E27FC236}">
              <a16:creationId xmlns:a16="http://schemas.microsoft.com/office/drawing/2014/main" id="{00000000-0008-0000-0600-000005000000}"/>
            </a:ext>
          </a:extLst>
        </xdr:cNvPr>
        <xdr:cNvCxnSpPr/>
      </xdr:nvCxnSpPr>
      <xdr:spPr>
        <a:xfrm>
          <a:off x="2458720" y="1203960"/>
          <a:ext cx="302436" cy="19960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17417</xdr:colOff>
      <xdr:row>9</xdr:row>
      <xdr:rowOff>126274</xdr:rowOff>
    </xdr:from>
    <xdr:to>
      <xdr:col>4</xdr:col>
      <xdr:colOff>322217</xdr:colOff>
      <xdr:row>11</xdr:row>
      <xdr:rowOff>195942</xdr:rowOff>
    </xdr:to>
    <xdr:cxnSp macro="">
      <xdr:nvCxnSpPr>
        <xdr:cNvPr id="6" name="Straight Arrow Connector 5">
          <a:extLst>
            <a:ext uri="{FF2B5EF4-FFF2-40B4-BE49-F238E27FC236}">
              <a16:creationId xmlns:a16="http://schemas.microsoft.com/office/drawing/2014/main" id="{00000000-0008-0000-0600-000006000000}"/>
            </a:ext>
          </a:extLst>
        </xdr:cNvPr>
        <xdr:cNvCxnSpPr/>
      </xdr:nvCxnSpPr>
      <xdr:spPr>
        <a:xfrm flipV="1">
          <a:off x="2468517" y="1789974"/>
          <a:ext cx="304800" cy="46336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8708</xdr:colOff>
      <xdr:row>11</xdr:row>
      <xdr:rowOff>195954</xdr:rowOff>
    </xdr:from>
    <xdr:to>
      <xdr:col>4</xdr:col>
      <xdr:colOff>320040</xdr:colOff>
      <xdr:row>11</xdr:row>
      <xdr:rowOff>200297</xdr:rowOff>
    </xdr:to>
    <xdr:cxnSp macro="">
      <xdr:nvCxnSpPr>
        <xdr:cNvPr id="7" name="Straight Arrow Connector 6">
          <a:extLst>
            <a:ext uri="{FF2B5EF4-FFF2-40B4-BE49-F238E27FC236}">
              <a16:creationId xmlns:a16="http://schemas.microsoft.com/office/drawing/2014/main" id="{00000000-0008-0000-0600-000007000000}"/>
            </a:ext>
          </a:extLst>
        </xdr:cNvPr>
        <xdr:cNvCxnSpPr/>
      </xdr:nvCxnSpPr>
      <xdr:spPr>
        <a:xfrm flipV="1">
          <a:off x="2459808" y="2253354"/>
          <a:ext cx="311332" cy="434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17417</xdr:colOff>
      <xdr:row>11</xdr:row>
      <xdr:rowOff>204651</xdr:rowOff>
    </xdr:from>
    <xdr:to>
      <xdr:col>4</xdr:col>
      <xdr:colOff>313508</xdr:colOff>
      <xdr:row>13</xdr:row>
      <xdr:rowOff>108857</xdr:rowOff>
    </xdr:to>
    <xdr:cxnSp macro="">
      <xdr:nvCxnSpPr>
        <xdr:cNvPr id="8" name="Straight Arrow Connector 7">
          <a:extLst>
            <a:ext uri="{FF2B5EF4-FFF2-40B4-BE49-F238E27FC236}">
              <a16:creationId xmlns:a16="http://schemas.microsoft.com/office/drawing/2014/main" id="{00000000-0008-0000-0600-000008000000}"/>
            </a:ext>
          </a:extLst>
        </xdr:cNvPr>
        <xdr:cNvCxnSpPr/>
      </xdr:nvCxnSpPr>
      <xdr:spPr>
        <a:xfrm>
          <a:off x="2468517" y="2262051"/>
          <a:ext cx="296091" cy="501106"/>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4354</xdr:colOff>
      <xdr:row>15</xdr:row>
      <xdr:rowOff>95800</xdr:rowOff>
    </xdr:from>
    <xdr:to>
      <xdr:col>5</xdr:col>
      <xdr:colOff>15240</xdr:colOff>
      <xdr:row>16</xdr:row>
      <xdr:rowOff>113211</xdr:rowOff>
    </xdr:to>
    <xdr:cxnSp macro="">
      <xdr:nvCxnSpPr>
        <xdr:cNvPr id="9" name="Straight Arrow Connector 8">
          <a:extLst>
            <a:ext uri="{FF2B5EF4-FFF2-40B4-BE49-F238E27FC236}">
              <a16:creationId xmlns:a16="http://schemas.microsoft.com/office/drawing/2014/main" id="{00000000-0008-0000-0600-000009000000}"/>
            </a:ext>
          </a:extLst>
        </xdr:cNvPr>
        <xdr:cNvCxnSpPr/>
      </xdr:nvCxnSpPr>
      <xdr:spPr>
        <a:xfrm flipV="1">
          <a:off x="2455454" y="3143800"/>
          <a:ext cx="379186" cy="22061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16</xdr:row>
      <xdr:rowOff>113216</xdr:rowOff>
    </xdr:from>
    <xdr:to>
      <xdr:col>4</xdr:col>
      <xdr:colOff>320040</xdr:colOff>
      <xdr:row>17</xdr:row>
      <xdr:rowOff>113216</xdr:rowOff>
    </xdr:to>
    <xdr:cxnSp macro="">
      <xdr:nvCxnSpPr>
        <xdr:cNvPr id="10" name="Straight Arrow Connector 9">
          <a:extLst>
            <a:ext uri="{FF2B5EF4-FFF2-40B4-BE49-F238E27FC236}">
              <a16:creationId xmlns:a16="http://schemas.microsoft.com/office/drawing/2014/main" id="{00000000-0008-0000-0600-00000A000000}"/>
            </a:ext>
          </a:extLst>
        </xdr:cNvPr>
        <xdr:cNvCxnSpPr/>
      </xdr:nvCxnSpPr>
      <xdr:spPr>
        <a:xfrm>
          <a:off x="2451100" y="3364416"/>
          <a:ext cx="320040" cy="2032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17417</xdr:colOff>
      <xdr:row>11</xdr:row>
      <xdr:rowOff>222068</xdr:rowOff>
    </xdr:from>
    <xdr:to>
      <xdr:col>2</xdr:col>
      <xdr:colOff>0</xdr:colOff>
      <xdr:row>16</xdr:row>
      <xdr:rowOff>108857</xdr:rowOff>
    </xdr:to>
    <xdr:cxnSp macro="">
      <xdr:nvCxnSpPr>
        <xdr:cNvPr id="11" name="Straight Arrow Connector 10">
          <a:extLst>
            <a:ext uri="{FF2B5EF4-FFF2-40B4-BE49-F238E27FC236}">
              <a16:creationId xmlns:a16="http://schemas.microsoft.com/office/drawing/2014/main" id="{00000000-0008-0000-0600-00000B000000}"/>
            </a:ext>
          </a:extLst>
        </xdr:cNvPr>
        <xdr:cNvCxnSpPr/>
      </xdr:nvCxnSpPr>
      <xdr:spPr>
        <a:xfrm>
          <a:off x="804817" y="2279468"/>
          <a:ext cx="350883" cy="1080589"/>
        </a:xfrm>
        <a:prstGeom prst="straightConnector1">
          <a:avLst/>
        </a:prstGeom>
        <a:ln>
          <a:tailEnd type="arrow"/>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247650</xdr:colOff>
      <xdr:row>1</xdr:row>
      <xdr:rowOff>0</xdr:rowOff>
    </xdr:from>
    <xdr:to>
      <xdr:col>15</xdr:col>
      <xdr:colOff>370282</xdr:colOff>
      <xdr:row>6</xdr:row>
      <xdr:rowOff>331956</xdr:rowOff>
    </xdr:to>
    <xdr:pic>
      <xdr:nvPicPr>
        <xdr:cNvPr id="6" name="Picture 5">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905875" y="190500"/>
          <a:ext cx="3170632" cy="280845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730693</xdr:colOff>
      <xdr:row>17</xdr:row>
      <xdr:rowOff>170312</xdr:rowOff>
    </xdr:from>
    <xdr:to>
      <xdr:col>10</xdr:col>
      <xdr:colOff>115081</xdr:colOff>
      <xdr:row>17</xdr:row>
      <xdr:rowOff>179458</xdr:rowOff>
    </xdr:to>
    <xdr:cxnSp macro="">
      <xdr:nvCxnSpPr>
        <xdr:cNvPr id="3" name="Straight Arrow Connector 2">
          <a:extLst>
            <a:ext uri="{FF2B5EF4-FFF2-40B4-BE49-F238E27FC236}">
              <a16:creationId xmlns:a16="http://schemas.microsoft.com/office/drawing/2014/main" id="{00000000-0008-0000-0E00-000003000000}"/>
            </a:ext>
          </a:extLst>
        </xdr:cNvPr>
        <xdr:cNvCxnSpPr/>
      </xdr:nvCxnSpPr>
      <xdr:spPr>
        <a:xfrm>
          <a:off x="2224213" y="2364872"/>
          <a:ext cx="7735908" cy="9146"/>
        </a:xfrm>
        <a:prstGeom prst="straightConnector1">
          <a:avLst/>
        </a:prstGeom>
        <a:solidFill>
          <a:schemeClr val="lt1">
            <a:alpha val="0"/>
          </a:schemeClr>
        </a:solidFill>
        <a:ln w="285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109602</xdr:colOff>
      <xdr:row>8</xdr:row>
      <xdr:rowOff>51107</xdr:rowOff>
    </xdr:from>
    <xdr:to>
      <xdr:col>9</xdr:col>
      <xdr:colOff>538497</xdr:colOff>
      <xdr:row>17</xdr:row>
      <xdr:rowOff>170312</xdr:rowOff>
    </xdr:to>
    <xdr:cxnSp macro="">
      <xdr:nvCxnSpPr>
        <xdr:cNvPr id="6" name="Straight Arrow Connector 5">
          <a:extLst>
            <a:ext uri="{FF2B5EF4-FFF2-40B4-BE49-F238E27FC236}">
              <a16:creationId xmlns:a16="http://schemas.microsoft.com/office/drawing/2014/main" id="{00000000-0008-0000-0E00-000006000000}"/>
            </a:ext>
          </a:extLst>
        </xdr:cNvPr>
        <xdr:cNvCxnSpPr/>
      </xdr:nvCxnSpPr>
      <xdr:spPr>
        <a:xfrm>
          <a:off x="7074282" y="599747"/>
          <a:ext cx="2699655" cy="1765125"/>
        </a:xfrm>
        <a:prstGeom prst="straightConnector1">
          <a:avLst/>
        </a:prstGeom>
        <a:solidFill>
          <a:schemeClr val="lt1">
            <a:alpha val="0"/>
          </a:schemeClr>
        </a:solidFill>
        <a:ln w="285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21993</xdr:colOff>
      <xdr:row>8</xdr:row>
      <xdr:rowOff>51107</xdr:rowOff>
    </xdr:from>
    <xdr:to>
      <xdr:col>7</xdr:col>
      <xdr:colOff>25819</xdr:colOff>
      <xdr:row>18</xdr:row>
      <xdr:rowOff>14869</xdr:rowOff>
    </xdr:to>
    <xdr:cxnSp macro="">
      <xdr:nvCxnSpPr>
        <xdr:cNvPr id="7" name="Straight Arrow Connector 6">
          <a:extLst>
            <a:ext uri="{FF2B5EF4-FFF2-40B4-BE49-F238E27FC236}">
              <a16:creationId xmlns:a16="http://schemas.microsoft.com/office/drawing/2014/main" id="{00000000-0008-0000-0E00-000007000000}"/>
            </a:ext>
          </a:extLst>
        </xdr:cNvPr>
        <xdr:cNvCxnSpPr/>
      </xdr:nvCxnSpPr>
      <xdr:spPr>
        <a:xfrm>
          <a:off x="4197753" y="599747"/>
          <a:ext cx="2792746" cy="1792562"/>
        </a:xfrm>
        <a:prstGeom prst="straightConnector1">
          <a:avLst/>
        </a:prstGeom>
        <a:solidFill>
          <a:schemeClr val="lt1">
            <a:alpha val="0"/>
          </a:schemeClr>
        </a:solidFill>
        <a:ln w="285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376945</xdr:colOff>
      <xdr:row>8</xdr:row>
      <xdr:rowOff>41962</xdr:rowOff>
    </xdr:from>
    <xdr:to>
      <xdr:col>4</xdr:col>
      <xdr:colOff>431596</xdr:colOff>
      <xdr:row>18</xdr:row>
      <xdr:rowOff>5724</xdr:rowOff>
    </xdr:to>
    <xdr:cxnSp macro="">
      <xdr:nvCxnSpPr>
        <xdr:cNvPr id="8" name="Straight Arrow Connector 7">
          <a:extLst>
            <a:ext uri="{FF2B5EF4-FFF2-40B4-BE49-F238E27FC236}">
              <a16:creationId xmlns:a16="http://schemas.microsoft.com/office/drawing/2014/main" id="{00000000-0008-0000-0E00-000008000000}"/>
            </a:ext>
          </a:extLst>
        </xdr:cNvPr>
        <xdr:cNvCxnSpPr/>
      </xdr:nvCxnSpPr>
      <xdr:spPr>
        <a:xfrm>
          <a:off x="1870465" y="590602"/>
          <a:ext cx="2736891" cy="1792562"/>
        </a:xfrm>
        <a:prstGeom prst="straightConnector1">
          <a:avLst/>
        </a:prstGeom>
        <a:solidFill>
          <a:schemeClr val="lt1">
            <a:alpha val="0"/>
          </a:schemeClr>
        </a:solidFill>
        <a:ln w="285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367636</xdr:colOff>
      <xdr:row>17</xdr:row>
      <xdr:rowOff>170312</xdr:rowOff>
    </xdr:from>
    <xdr:to>
      <xdr:col>4</xdr:col>
      <xdr:colOff>422287</xdr:colOff>
      <xdr:row>27</xdr:row>
      <xdr:rowOff>134074</xdr:rowOff>
    </xdr:to>
    <xdr:cxnSp macro="">
      <xdr:nvCxnSpPr>
        <xdr:cNvPr id="9" name="Straight Arrow Connector 8">
          <a:extLst>
            <a:ext uri="{FF2B5EF4-FFF2-40B4-BE49-F238E27FC236}">
              <a16:creationId xmlns:a16="http://schemas.microsoft.com/office/drawing/2014/main" id="{00000000-0008-0000-0E00-000009000000}"/>
            </a:ext>
          </a:extLst>
        </xdr:cNvPr>
        <xdr:cNvCxnSpPr/>
      </xdr:nvCxnSpPr>
      <xdr:spPr>
        <a:xfrm flipV="1">
          <a:off x="1861156" y="2364872"/>
          <a:ext cx="2736891" cy="1792562"/>
        </a:xfrm>
        <a:prstGeom prst="straightConnector1">
          <a:avLst/>
        </a:prstGeom>
        <a:solidFill>
          <a:schemeClr val="lt1">
            <a:alpha val="0"/>
          </a:schemeClr>
        </a:solidFill>
        <a:ln w="285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422287</xdr:colOff>
      <xdr:row>17</xdr:row>
      <xdr:rowOff>170312</xdr:rowOff>
    </xdr:from>
    <xdr:to>
      <xdr:col>7</xdr:col>
      <xdr:colOff>7201</xdr:colOff>
      <xdr:row>26</xdr:row>
      <xdr:rowOff>138613</xdr:rowOff>
    </xdr:to>
    <xdr:cxnSp macro="">
      <xdr:nvCxnSpPr>
        <xdr:cNvPr id="10" name="Straight Arrow Connector 9">
          <a:extLst>
            <a:ext uri="{FF2B5EF4-FFF2-40B4-BE49-F238E27FC236}">
              <a16:creationId xmlns:a16="http://schemas.microsoft.com/office/drawing/2014/main" id="{00000000-0008-0000-0E00-00000A000000}"/>
            </a:ext>
          </a:extLst>
        </xdr:cNvPr>
        <xdr:cNvCxnSpPr>
          <a:cxnSpLocks/>
        </xdr:cNvCxnSpPr>
      </xdr:nvCxnSpPr>
      <xdr:spPr>
        <a:xfrm flipV="1">
          <a:off x="4598047" y="2364872"/>
          <a:ext cx="2373834" cy="1614221"/>
        </a:xfrm>
        <a:prstGeom prst="straightConnector1">
          <a:avLst/>
        </a:prstGeom>
        <a:solidFill>
          <a:schemeClr val="lt1">
            <a:alpha val="0"/>
          </a:schemeClr>
        </a:solidFill>
        <a:ln w="285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509896</xdr:colOff>
      <xdr:row>18</xdr:row>
      <xdr:rowOff>14871</xdr:rowOff>
    </xdr:from>
    <xdr:to>
      <xdr:col>9</xdr:col>
      <xdr:colOff>510570</xdr:colOff>
      <xdr:row>27</xdr:row>
      <xdr:rowOff>6034</xdr:rowOff>
    </xdr:to>
    <xdr:cxnSp macro="">
      <xdr:nvCxnSpPr>
        <xdr:cNvPr id="11" name="Straight Arrow Connector 10">
          <a:extLst>
            <a:ext uri="{FF2B5EF4-FFF2-40B4-BE49-F238E27FC236}">
              <a16:creationId xmlns:a16="http://schemas.microsoft.com/office/drawing/2014/main" id="{00000000-0008-0000-0E00-00000B000000}"/>
            </a:ext>
          </a:extLst>
        </xdr:cNvPr>
        <xdr:cNvCxnSpPr/>
      </xdr:nvCxnSpPr>
      <xdr:spPr>
        <a:xfrm flipV="1">
          <a:off x="7474576" y="2392311"/>
          <a:ext cx="2271434" cy="1637083"/>
        </a:xfrm>
        <a:prstGeom prst="straightConnector1">
          <a:avLst/>
        </a:prstGeom>
        <a:solidFill>
          <a:schemeClr val="lt1">
            <a:alpha val="0"/>
          </a:schemeClr>
        </a:solidFill>
        <a:ln w="285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0</xdr:colOff>
      <xdr:row>6</xdr:row>
      <xdr:rowOff>1219200</xdr:rowOff>
    </xdr:from>
    <xdr:to>
      <xdr:col>2</xdr:col>
      <xdr:colOff>563464</xdr:colOff>
      <xdr:row>8</xdr:row>
      <xdr:rowOff>69399</xdr:rowOff>
    </xdr:to>
    <xdr:sp macro="" textlink="">
      <xdr:nvSpPr>
        <xdr:cNvPr id="12" name="TextBox 11">
          <a:extLst>
            <a:ext uri="{FF2B5EF4-FFF2-40B4-BE49-F238E27FC236}">
              <a16:creationId xmlns:a16="http://schemas.microsoft.com/office/drawing/2014/main" id="{00000000-0008-0000-0E00-00000C000000}"/>
            </a:ext>
          </a:extLst>
        </xdr:cNvPr>
        <xdr:cNvSpPr txBox="1"/>
      </xdr:nvSpPr>
      <xdr:spPr>
        <a:xfrm>
          <a:off x="0" y="3714750"/>
          <a:ext cx="2239864" cy="469449"/>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b="1">
              <a:latin typeface="Quicksand" pitchFamily="2" charset="0"/>
            </a:rPr>
            <a:t>People</a:t>
          </a:r>
        </a:p>
      </xdr:txBody>
    </xdr:sp>
    <xdr:clientData/>
  </xdr:twoCellAnchor>
  <xdr:twoCellAnchor>
    <xdr:from>
      <xdr:col>2</xdr:col>
      <xdr:colOff>703102</xdr:colOff>
      <xdr:row>6</xdr:row>
      <xdr:rowOff>1219200</xdr:rowOff>
    </xdr:from>
    <xdr:to>
      <xdr:col>5</xdr:col>
      <xdr:colOff>17225</xdr:colOff>
      <xdr:row>8</xdr:row>
      <xdr:rowOff>69399</xdr:rowOff>
    </xdr:to>
    <xdr:sp macro="" textlink="">
      <xdr:nvSpPr>
        <xdr:cNvPr id="13" name="TextBox 12">
          <a:extLst>
            <a:ext uri="{FF2B5EF4-FFF2-40B4-BE49-F238E27FC236}">
              <a16:creationId xmlns:a16="http://schemas.microsoft.com/office/drawing/2014/main" id="{00000000-0008-0000-0E00-00000D000000}"/>
            </a:ext>
          </a:extLst>
        </xdr:cNvPr>
        <xdr:cNvSpPr txBox="1"/>
      </xdr:nvSpPr>
      <xdr:spPr>
        <a:xfrm>
          <a:off x="2379502" y="3714750"/>
          <a:ext cx="1971598" cy="469449"/>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b="1">
              <a:latin typeface="Quicksand" pitchFamily="2" charset="0"/>
            </a:rPr>
            <a:t>Process</a:t>
          </a:r>
        </a:p>
      </xdr:txBody>
    </xdr:sp>
    <xdr:clientData/>
  </xdr:twoCellAnchor>
  <xdr:twoCellAnchor>
    <xdr:from>
      <xdr:col>5</xdr:col>
      <xdr:colOff>780576</xdr:colOff>
      <xdr:row>6</xdr:row>
      <xdr:rowOff>1219200</xdr:rowOff>
    </xdr:from>
    <xdr:to>
      <xdr:col>7</xdr:col>
      <xdr:colOff>1245319</xdr:colOff>
      <xdr:row>8</xdr:row>
      <xdr:rowOff>69399</xdr:rowOff>
    </xdr:to>
    <xdr:sp macro="" textlink="">
      <xdr:nvSpPr>
        <xdr:cNvPr id="14" name="TextBox 13">
          <a:extLst>
            <a:ext uri="{FF2B5EF4-FFF2-40B4-BE49-F238E27FC236}">
              <a16:creationId xmlns:a16="http://schemas.microsoft.com/office/drawing/2014/main" id="{00000000-0008-0000-0E00-00000E000000}"/>
            </a:ext>
          </a:extLst>
        </xdr:cNvPr>
        <xdr:cNvSpPr txBox="1"/>
      </xdr:nvSpPr>
      <xdr:spPr>
        <a:xfrm>
          <a:off x="5114451" y="3714750"/>
          <a:ext cx="1998268" cy="469449"/>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b="1">
              <a:latin typeface="Quicksand" pitchFamily="2" charset="0"/>
            </a:rPr>
            <a:t>Equipment / Systems</a:t>
          </a:r>
        </a:p>
      </xdr:txBody>
    </xdr:sp>
    <xdr:clientData/>
  </xdr:twoCellAnchor>
  <xdr:twoCellAnchor>
    <xdr:from>
      <xdr:col>0</xdr:col>
      <xdr:colOff>0</xdr:colOff>
      <xdr:row>27</xdr:row>
      <xdr:rowOff>33471</xdr:rowOff>
    </xdr:from>
    <xdr:to>
      <xdr:col>2</xdr:col>
      <xdr:colOff>498300</xdr:colOff>
      <xdr:row>28</xdr:row>
      <xdr:rowOff>152400</xdr:rowOff>
    </xdr:to>
    <xdr:sp macro="" textlink="">
      <xdr:nvSpPr>
        <xdr:cNvPr id="15" name="TextBox 14">
          <a:extLst>
            <a:ext uri="{FF2B5EF4-FFF2-40B4-BE49-F238E27FC236}">
              <a16:creationId xmlns:a16="http://schemas.microsoft.com/office/drawing/2014/main" id="{00000000-0008-0000-0E00-00000F000000}"/>
            </a:ext>
          </a:extLst>
        </xdr:cNvPr>
        <xdr:cNvSpPr txBox="1"/>
      </xdr:nvSpPr>
      <xdr:spPr>
        <a:xfrm>
          <a:off x="585801" y="4056831"/>
          <a:ext cx="2541399" cy="301809"/>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b="1">
              <a:latin typeface="Quicksand" pitchFamily="2" charset="0"/>
            </a:rPr>
            <a:t>Materials / Data</a:t>
          </a:r>
        </a:p>
      </xdr:txBody>
    </xdr:sp>
    <xdr:clientData/>
  </xdr:twoCellAnchor>
  <xdr:twoCellAnchor>
    <xdr:from>
      <xdr:col>2</xdr:col>
      <xdr:colOff>898594</xdr:colOff>
      <xdr:row>27</xdr:row>
      <xdr:rowOff>33471</xdr:rowOff>
    </xdr:from>
    <xdr:to>
      <xdr:col>5</xdr:col>
      <xdr:colOff>212717</xdr:colOff>
      <xdr:row>28</xdr:row>
      <xdr:rowOff>152400</xdr:rowOff>
    </xdr:to>
    <xdr:sp macro="" textlink="">
      <xdr:nvSpPr>
        <xdr:cNvPr id="16" name="TextBox 15">
          <a:extLst>
            <a:ext uri="{FF2B5EF4-FFF2-40B4-BE49-F238E27FC236}">
              <a16:creationId xmlns:a16="http://schemas.microsoft.com/office/drawing/2014/main" id="{00000000-0008-0000-0E00-000010000000}"/>
            </a:ext>
          </a:extLst>
        </xdr:cNvPr>
        <xdr:cNvSpPr txBox="1"/>
      </xdr:nvSpPr>
      <xdr:spPr>
        <a:xfrm>
          <a:off x="3527494" y="4056831"/>
          <a:ext cx="2057323" cy="301809"/>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b="1">
              <a:latin typeface="Quicksand" pitchFamily="2" charset="0"/>
            </a:rPr>
            <a:t>Measurements</a:t>
          </a:r>
        </a:p>
      </xdr:txBody>
    </xdr:sp>
    <xdr:clientData/>
  </xdr:twoCellAnchor>
  <xdr:twoCellAnchor>
    <xdr:from>
      <xdr:col>6</xdr:col>
      <xdr:colOff>132726</xdr:colOff>
      <xdr:row>27</xdr:row>
      <xdr:rowOff>33471</xdr:rowOff>
    </xdr:from>
    <xdr:to>
      <xdr:col>8</xdr:col>
      <xdr:colOff>277429</xdr:colOff>
      <xdr:row>28</xdr:row>
      <xdr:rowOff>152400</xdr:rowOff>
    </xdr:to>
    <xdr:sp macro="" textlink="">
      <xdr:nvSpPr>
        <xdr:cNvPr id="17" name="TextBox 16">
          <a:extLst>
            <a:ext uri="{FF2B5EF4-FFF2-40B4-BE49-F238E27FC236}">
              <a16:creationId xmlns:a16="http://schemas.microsoft.com/office/drawing/2014/main" id="{00000000-0008-0000-0E00-000011000000}"/>
            </a:ext>
          </a:extLst>
        </xdr:cNvPr>
        <xdr:cNvSpPr txBox="1"/>
      </xdr:nvSpPr>
      <xdr:spPr>
        <a:xfrm>
          <a:off x="6487806" y="4056831"/>
          <a:ext cx="2057323" cy="301809"/>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b="1">
              <a:latin typeface="Quicksand" pitchFamily="2" charset="0"/>
            </a:rPr>
            <a:t>Environment</a:t>
          </a:r>
        </a:p>
      </xdr:txBody>
    </xdr:sp>
    <xdr:clientData/>
  </xdr:twoCellAnchor>
  <xdr:twoCellAnchor>
    <xdr:from>
      <xdr:col>0</xdr:col>
      <xdr:colOff>0</xdr:colOff>
      <xdr:row>25</xdr:row>
      <xdr:rowOff>204119</xdr:rowOff>
    </xdr:from>
    <xdr:to>
      <xdr:col>1</xdr:col>
      <xdr:colOff>578330</xdr:colOff>
      <xdr:row>27</xdr:row>
      <xdr:rowOff>76156</xdr:rowOff>
    </xdr:to>
    <xdr:sp macro="" textlink="">
      <xdr:nvSpPr>
        <xdr:cNvPr id="38" name="TextBox 37">
          <a:extLst>
            <a:ext uri="{FF2B5EF4-FFF2-40B4-BE49-F238E27FC236}">
              <a16:creationId xmlns:a16="http://schemas.microsoft.com/office/drawing/2014/main" id="{00000000-0008-0000-0E00-000026000000}"/>
            </a:ext>
          </a:extLst>
        </xdr:cNvPr>
        <xdr:cNvSpPr txBox="1"/>
      </xdr:nvSpPr>
      <xdr:spPr>
        <a:xfrm>
          <a:off x="312420" y="4776119"/>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10</xdr:col>
      <xdr:colOff>88959</xdr:colOff>
      <xdr:row>15</xdr:row>
      <xdr:rowOff>188552</xdr:rowOff>
    </xdr:from>
    <xdr:to>
      <xdr:col>11</xdr:col>
      <xdr:colOff>200025</xdr:colOff>
      <xdr:row>19</xdr:row>
      <xdr:rowOff>161925</xdr:rowOff>
    </xdr:to>
    <xdr:sp macro="" textlink="#REF!">
      <xdr:nvSpPr>
        <xdr:cNvPr id="57" name="TextBox 56">
          <a:extLst>
            <a:ext uri="{FF2B5EF4-FFF2-40B4-BE49-F238E27FC236}">
              <a16:creationId xmlns:a16="http://schemas.microsoft.com/office/drawing/2014/main" id="{00000000-0008-0000-0E00-000039000000}"/>
            </a:ext>
          </a:extLst>
        </xdr:cNvPr>
        <xdr:cNvSpPr txBox="1"/>
      </xdr:nvSpPr>
      <xdr:spPr>
        <a:xfrm>
          <a:off x="8756709" y="4703402"/>
          <a:ext cx="1854141" cy="773473"/>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400" b="1">
              <a:latin typeface="Quicksand" pitchFamily="2" charset="0"/>
            </a:rPr>
            <a:t>Quantified</a:t>
          </a:r>
          <a:r>
            <a:rPr lang="en-GB" sz="1400" b="1" baseline="0">
              <a:latin typeface="Quicksand" pitchFamily="2" charset="0"/>
            </a:rPr>
            <a:t> problem:</a:t>
          </a:r>
        </a:p>
        <a:p>
          <a:pPr algn="ctr"/>
          <a:r>
            <a:rPr lang="en-GB" sz="1400" b="1" baseline="0">
              <a:latin typeface="Quicksand" pitchFamily="2" charset="0"/>
            </a:rPr>
            <a:t>60% Bad demand gets to Fields Ops</a:t>
          </a:r>
          <a:endParaRPr lang="en-GB" sz="1400" b="1">
            <a:latin typeface="Quicksand" pitchFamily="2" charset="0"/>
          </a:endParaRPr>
        </a:p>
      </xdr:txBody>
    </xdr:sp>
    <xdr:clientData/>
  </xdr:twoCellAnchor>
  <xdr:twoCellAnchor>
    <xdr:from>
      <xdr:col>0</xdr:col>
      <xdr:colOff>0</xdr:colOff>
      <xdr:row>24</xdr:row>
      <xdr:rowOff>152400</xdr:rowOff>
    </xdr:from>
    <xdr:to>
      <xdr:col>1</xdr:col>
      <xdr:colOff>867890</xdr:colOff>
      <xdr:row>26</xdr:row>
      <xdr:rowOff>24437</xdr:rowOff>
    </xdr:to>
    <xdr:sp macro="" textlink="">
      <xdr:nvSpPr>
        <xdr:cNvPr id="56" name="TextBox 55">
          <a:extLst>
            <a:ext uri="{FF2B5EF4-FFF2-40B4-BE49-F238E27FC236}">
              <a16:creationId xmlns:a16="http://schemas.microsoft.com/office/drawing/2014/main" id="{00000000-0008-0000-0E00-000038000000}"/>
            </a:ext>
          </a:extLst>
        </xdr:cNvPr>
        <xdr:cNvSpPr txBox="1"/>
      </xdr:nvSpPr>
      <xdr:spPr>
        <a:xfrm>
          <a:off x="601980" y="449580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0</xdr:col>
      <xdr:colOff>45720</xdr:colOff>
      <xdr:row>23</xdr:row>
      <xdr:rowOff>114300</xdr:rowOff>
    </xdr:from>
    <xdr:to>
      <xdr:col>2</xdr:col>
      <xdr:colOff>60170</xdr:colOff>
      <xdr:row>24</xdr:row>
      <xdr:rowOff>214937</xdr:rowOff>
    </xdr:to>
    <xdr:sp macro="" textlink="">
      <xdr:nvSpPr>
        <xdr:cNvPr id="58" name="TextBox 57">
          <a:extLst>
            <a:ext uri="{FF2B5EF4-FFF2-40B4-BE49-F238E27FC236}">
              <a16:creationId xmlns:a16="http://schemas.microsoft.com/office/drawing/2014/main" id="{00000000-0008-0000-0E00-00003A000000}"/>
            </a:ext>
          </a:extLst>
        </xdr:cNvPr>
        <xdr:cNvSpPr txBox="1"/>
      </xdr:nvSpPr>
      <xdr:spPr>
        <a:xfrm>
          <a:off x="929640" y="422910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0</xdr:col>
      <xdr:colOff>381000</xdr:colOff>
      <xdr:row>22</xdr:row>
      <xdr:rowOff>22860</xdr:rowOff>
    </xdr:from>
    <xdr:to>
      <xdr:col>2</xdr:col>
      <xdr:colOff>395450</xdr:colOff>
      <xdr:row>23</xdr:row>
      <xdr:rowOff>123497</xdr:rowOff>
    </xdr:to>
    <xdr:sp macro="" textlink="">
      <xdr:nvSpPr>
        <xdr:cNvPr id="59" name="TextBox 58">
          <a:extLst>
            <a:ext uri="{FF2B5EF4-FFF2-40B4-BE49-F238E27FC236}">
              <a16:creationId xmlns:a16="http://schemas.microsoft.com/office/drawing/2014/main" id="{00000000-0008-0000-0E00-00003B000000}"/>
            </a:ext>
          </a:extLst>
        </xdr:cNvPr>
        <xdr:cNvSpPr txBox="1"/>
      </xdr:nvSpPr>
      <xdr:spPr>
        <a:xfrm>
          <a:off x="1264920" y="390906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1</xdr:col>
      <xdr:colOff>114300</xdr:colOff>
      <xdr:row>20</xdr:row>
      <xdr:rowOff>220980</xdr:rowOff>
    </xdr:from>
    <xdr:to>
      <xdr:col>2</xdr:col>
      <xdr:colOff>738350</xdr:colOff>
      <xdr:row>22</xdr:row>
      <xdr:rowOff>93017</xdr:rowOff>
    </xdr:to>
    <xdr:sp macro="" textlink="">
      <xdr:nvSpPr>
        <xdr:cNvPr id="60" name="TextBox 59">
          <a:extLst>
            <a:ext uri="{FF2B5EF4-FFF2-40B4-BE49-F238E27FC236}">
              <a16:creationId xmlns:a16="http://schemas.microsoft.com/office/drawing/2014/main" id="{00000000-0008-0000-0E00-00003C000000}"/>
            </a:ext>
          </a:extLst>
        </xdr:cNvPr>
        <xdr:cNvSpPr txBox="1"/>
      </xdr:nvSpPr>
      <xdr:spPr>
        <a:xfrm>
          <a:off x="1607820" y="364998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2</xdr:col>
      <xdr:colOff>558800</xdr:colOff>
      <xdr:row>18</xdr:row>
      <xdr:rowOff>139700</xdr:rowOff>
    </xdr:from>
    <xdr:to>
      <xdr:col>3</xdr:col>
      <xdr:colOff>189710</xdr:colOff>
      <xdr:row>21</xdr:row>
      <xdr:rowOff>16817</xdr:rowOff>
    </xdr:to>
    <xdr:sp macro="" textlink="">
      <xdr:nvSpPr>
        <xdr:cNvPr id="61" name="TextBox 60">
          <a:extLst>
            <a:ext uri="{FF2B5EF4-FFF2-40B4-BE49-F238E27FC236}">
              <a16:creationId xmlns:a16="http://schemas.microsoft.com/office/drawing/2014/main" id="{00000000-0008-0000-0E00-00003D000000}"/>
            </a:ext>
          </a:extLst>
        </xdr:cNvPr>
        <xdr:cNvSpPr txBox="1"/>
      </xdr:nvSpPr>
      <xdr:spPr>
        <a:xfrm>
          <a:off x="2489200" y="3111500"/>
          <a:ext cx="672310" cy="48671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Asset data</a:t>
          </a:r>
        </a:p>
      </xdr:txBody>
    </xdr:sp>
    <xdr:clientData/>
  </xdr:twoCellAnchor>
  <xdr:twoCellAnchor>
    <xdr:from>
      <xdr:col>2</xdr:col>
      <xdr:colOff>289560</xdr:colOff>
      <xdr:row>24</xdr:row>
      <xdr:rowOff>219359</xdr:rowOff>
    </xdr:from>
    <xdr:to>
      <xdr:col>4</xdr:col>
      <xdr:colOff>502130</xdr:colOff>
      <xdr:row>26</xdr:row>
      <xdr:rowOff>91396</xdr:rowOff>
    </xdr:to>
    <xdr:sp macro="" textlink="">
      <xdr:nvSpPr>
        <xdr:cNvPr id="64" name="TextBox 63">
          <a:extLst>
            <a:ext uri="{FF2B5EF4-FFF2-40B4-BE49-F238E27FC236}">
              <a16:creationId xmlns:a16="http://schemas.microsoft.com/office/drawing/2014/main" id="{00000000-0008-0000-0E00-000040000000}"/>
            </a:ext>
          </a:extLst>
        </xdr:cNvPr>
        <xdr:cNvSpPr txBox="1"/>
      </xdr:nvSpPr>
      <xdr:spPr>
        <a:xfrm>
          <a:off x="2918460" y="4562759"/>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2</xdr:col>
      <xdr:colOff>579120</xdr:colOff>
      <xdr:row>23</xdr:row>
      <xdr:rowOff>167640</xdr:rowOff>
    </xdr:from>
    <xdr:to>
      <xdr:col>4</xdr:col>
      <xdr:colOff>791690</xdr:colOff>
      <xdr:row>25</xdr:row>
      <xdr:rowOff>39677</xdr:rowOff>
    </xdr:to>
    <xdr:sp macro="" textlink="">
      <xdr:nvSpPr>
        <xdr:cNvPr id="65" name="TextBox 64">
          <a:extLst>
            <a:ext uri="{FF2B5EF4-FFF2-40B4-BE49-F238E27FC236}">
              <a16:creationId xmlns:a16="http://schemas.microsoft.com/office/drawing/2014/main" id="{00000000-0008-0000-0E00-000041000000}"/>
            </a:ext>
          </a:extLst>
        </xdr:cNvPr>
        <xdr:cNvSpPr txBox="1"/>
      </xdr:nvSpPr>
      <xdr:spPr>
        <a:xfrm>
          <a:off x="3208020" y="428244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2</xdr:col>
      <xdr:colOff>906780</xdr:colOff>
      <xdr:row>22</xdr:row>
      <xdr:rowOff>129540</xdr:rowOff>
    </xdr:from>
    <xdr:to>
      <xdr:col>4</xdr:col>
      <xdr:colOff>1119350</xdr:colOff>
      <xdr:row>24</xdr:row>
      <xdr:rowOff>1577</xdr:rowOff>
    </xdr:to>
    <xdr:sp macro="" textlink="">
      <xdr:nvSpPr>
        <xdr:cNvPr id="66" name="TextBox 65">
          <a:extLst>
            <a:ext uri="{FF2B5EF4-FFF2-40B4-BE49-F238E27FC236}">
              <a16:creationId xmlns:a16="http://schemas.microsoft.com/office/drawing/2014/main" id="{00000000-0008-0000-0E00-000042000000}"/>
            </a:ext>
          </a:extLst>
        </xdr:cNvPr>
        <xdr:cNvSpPr txBox="1"/>
      </xdr:nvSpPr>
      <xdr:spPr>
        <a:xfrm>
          <a:off x="3535680" y="401574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3</xdr:col>
      <xdr:colOff>304800</xdr:colOff>
      <xdr:row>21</xdr:row>
      <xdr:rowOff>38100</xdr:rowOff>
    </xdr:from>
    <xdr:to>
      <xdr:col>5</xdr:col>
      <xdr:colOff>258290</xdr:colOff>
      <xdr:row>22</xdr:row>
      <xdr:rowOff>138737</xdr:rowOff>
    </xdr:to>
    <xdr:sp macro="" textlink="">
      <xdr:nvSpPr>
        <xdr:cNvPr id="67" name="TextBox 66">
          <a:extLst>
            <a:ext uri="{FF2B5EF4-FFF2-40B4-BE49-F238E27FC236}">
              <a16:creationId xmlns:a16="http://schemas.microsoft.com/office/drawing/2014/main" id="{00000000-0008-0000-0E00-000043000000}"/>
            </a:ext>
          </a:extLst>
        </xdr:cNvPr>
        <xdr:cNvSpPr txBox="1"/>
      </xdr:nvSpPr>
      <xdr:spPr>
        <a:xfrm>
          <a:off x="3870960" y="369570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4</xdr:col>
      <xdr:colOff>83820</xdr:colOff>
      <xdr:row>20</xdr:row>
      <xdr:rowOff>7620</xdr:rowOff>
    </xdr:from>
    <xdr:to>
      <xdr:col>5</xdr:col>
      <xdr:colOff>646910</xdr:colOff>
      <xdr:row>21</xdr:row>
      <xdr:rowOff>108257</xdr:rowOff>
    </xdr:to>
    <xdr:sp macro="" textlink="">
      <xdr:nvSpPr>
        <xdr:cNvPr id="68" name="TextBox 67">
          <a:extLst>
            <a:ext uri="{FF2B5EF4-FFF2-40B4-BE49-F238E27FC236}">
              <a16:creationId xmlns:a16="http://schemas.microsoft.com/office/drawing/2014/main" id="{00000000-0008-0000-0E00-000044000000}"/>
            </a:ext>
          </a:extLst>
        </xdr:cNvPr>
        <xdr:cNvSpPr txBox="1"/>
      </xdr:nvSpPr>
      <xdr:spPr>
        <a:xfrm>
          <a:off x="4259580" y="343662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4</xdr:col>
      <xdr:colOff>472440</xdr:colOff>
      <xdr:row>18</xdr:row>
      <xdr:rowOff>160020</xdr:rowOff>
    </xdr:from>
    <xdr:to>
      <xdr:col>6</xdr:col>
      <xdr:colOff>52550</xdr:colOff>
      <xdr:row>20</xdr:row>
      <xdr:rowOff>32057</xdr:rowOff>
    </xdr:to>
    <xdr:sp macro="" textlink="">
      <xdr:nvSpPr>
        <xdr:cNvPr id="69" name="TextBox 68">
          <a:extLst>
            <a:ext uri="{FF2B5EF4-FFF2-40B4-BE49-F238E27FC236}">
              <a16:creationId xmlns:a16="http://schemas.microsoft.com/office/drawing/2014/main" id="{00000000-0008-0000-0E00-000045000000}"/>
            </a:ext>
          </a:extLst>
        </xdr:cNvPr>
        <xdr:cNvSpPr txBox="1"/>
      </xdr:nvSpPr>
      <xdr:spPr>
        <a:xfrm>
          <a:off x="4648200" y="313182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5</xdr:col>
      <xdr:colOff>381000</xdr:colOff>
      <xdr:row>25</xdr:row>
      <xdr:rowOff>5999</xdr:rowOff>
    </xdr:from>
    <xdr:to>
      <xdr:col>7</xdr:col>
      <xdr:colOff>547850</xdr:colOff>
      <xdr:row>26</xdr:row>
      <xdr:rowOff>106636</xdr:rowOff>
    </xdr:to>
    <xdr:sp macro="" textlink="">
      <xdr:nvSpPr>
        <xdr:cNvPr id="70" name="TextBox 69">
          <a:extLst>
            <a:ext uri="{FF2B5EF4-FFF2-40B4-BE49-F238E27FC236}">
              <a16:creationId xmlns:a16="http://schemas.microsoft.com/office/drawing/2014/main" id="{00000000-0008-0000-0E00-000046000000}"/>
            </a:ext>
          </a:extLst>
        </xdr:cNvPr>
        <xdr:cNvSpPr txBox="1"/>
      </xdr:nvSpPr>
      <xdr:spPr>
        <a:xfrm>
          <a:off x="5753100" y="4577999"/>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5</xdr:col>
      <xdr:colOff>670560</xdr:colOff>
      <xdr:row>23</xdr:row>
      <xdr:rowOff>182880</xdr:rowOff>
    </xdr:from>
    <xdr:to>
      <xdr:col>7</xdr:col>
      <xdr:colOff>837410</xdr:colOff>
      <xdr:row>25</xdr:row>
      <xdr:rowOff>54917</xdr:rowOff>
    </xdr:to>
    <xdr:sp macro="" textlink="">
      <xdr:nvSpPr>
        <xdr:cNvPr id="71" name="TextBox 70">
          <a:extLst>
            <a:ext uri="{FF2B5EF4-FFF2-40B4-BE49-F238E27FC236}">
              <a16:creationId xmlns:a16="http://schemas.microsoft.com/office/drawing/2014/main" id="{00000000-0008-0000-0E00-000047000000}"/>
            </a:ext>
          </a:extLst>
        </xdr:cNvPr>
        <xdr:cNvSpPr txBox="1"/>
      </xdr:nvSpPr>
      <xdr:spPr>
        <a:xfrm>
          <a:off x="6042660" y="429768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6</xdr:col>
      <xdr:colOff>15240</xdr:colOff>
      <xdr:row>22</xdr:row>
      <xdr:rowOff>144780</xdr:rowOff>
    </xdr:from>
    <xdr:to>
      <xdr:col>7</xdr:col>
      <xdr:colOff>1165070</xdr:colOff>
      <xdr:row>24</xdr:row>
      <xdr:rowOff>16817</xdr:rowOff>
    </xdr:to>
    <xdr:sp macro="" textlink="">
      <xdr:nvSpPr>
        <xdr:cNvPr id="72" name="TextBox 71">
          <a:extLst>
            <a:ext uri="{FF2B5EF4-FFF2-40B4-BE49-F238E27FC236}">
              <a16:creationId xmlns:a16="http://schemas.microsoft.com/office/drawing/2014/main" id="{00000000-0008-0000-0E00-000048000000}"/>
            </a:ext>
          </a:extLst>
        </xdr:cNvPr>
        <xdr:cNvSpPr txBox="1"/>
      </xdr:nvSpPr>
      <xdr:spPr>
        <a:xfrm>
          <a:off x="6370320" y="403098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6</xdr:col>
      <xdr:colOff>350520</xdr:colOff>
      <xdr:row>21</xdr:row>
      <xdr:rowOff>53340</xdr:rowOff>
    </xdr:from>
    <xdr:to>
      <xdr:col>8</xdr:col>
      <xdr:colOff>197330</xdr:colOff>
      <xdr:row>22</xdr:row>
      <xdr:rowOff>153977</xdr:rowOff>
    </xdr:to>
    <xdr:sp macro="" textlink="">
      <xdr:nvSpPr>
        <xdr:cNvPr id="73" name="TextBox 72">
          <a:extLst>
            <a:ext uri="{FF2B5EF4-FFF2-40B4-BE49-F238E27FC236}">
              <a16:creationId xmlns:a16="http://schemas.microsoft.com/office/drawing/2014/main" id="{00000000-0008-0000-0E00-000049000000}"/>
            </a:ext>
          </a:extLst>
        </xdr:cNvPr>
        <xdr:cNvSpPr txBox="1"/>
      </xdr:nvSpPr>
      <xdr:spPr>
        <a:xfrm>
          <a:off x="6705600" y="371094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7</xdr:col>
      <xdr:colOff>129540</xdr:colOff>
      <xdr:row>20</xdr:row>
      <xdr:rowOff>22860</xdr:rowOff>
    </xdr:from>
    <xdr:to>
      <xdr:col>8</xdr:col>
      <xdr:colOff>585950</xdr:colOff>
      <xdr:row>21</xdr:row>
      <xdr:rowOff>123497</xdr:rowOff>
    </xdr:to>
    <xdr:sp macro="" textlink="">
      <xdr:nvSpPr>
        <xdr:cNvPr id="74" name="TextBox 73">
          <a:extLst>
            <a:ext uri="{FF2B5EF4-FFF2-40B4-BE49-F238E27FC236}">
              <a16:creationId xmlns:a16="http://schemas.microsoft.com/office/drawing/2014/main" id="{00000000-0008-0000-0E00-00004A000000}"/>
            </a:ext>
          </a:extLst>
        </xdr:cNvPr>
        <xdr:cNvSpPr txBox="1"/>
      </xdr:nvSpPr>
      <xdr:spPr>
        <a:xfrm>
          <a:off x="7094220" y="345186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7</xdr:col>
      <xdr:colOff>518160</xdr:colOff>
      <xdr:row>18</xdr:row>
      <xdr:rowOff>175260</xdr:rowOff>
    </xdr:from>
    <xdr:to>
      <xdr:col>9</xdr:col>
      <xdr:colOff>6830</xdr:colOff>
      <xdr:row>20</xdr:row>
      <xdr:rowOff>47297</xdr:rowOff>
    </xdr:to>
    <xdr:sp macro="" textlink="">
      <xdr:nvSpPr>
        <xdr:cNvPr id="75" name="TextBox 74">
          <a:extLst>
            <a:ext uri="{FF2B5EF4-FFF2-40B4-BE49-F238E27FC236}">
              <a16:creationId xmlns:a16="http://schemas.microsoft.com/office/drawing/2014/main" id="{00000000-0008-0000-0E00-00004B000000}"/>
            </a:ext>
          </a:extLst>
        </xdr:cNvPr>
        <xdr:cNvSpPr txBox="1"/>
      </xdr:nvSpPr>
      <xdr:spPr>
        <a:xfrm>
          <a:off x="7482840" y="314706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7</xdr:col>
      <xdr:colOff>487680</xdr:colOff>
      <xdr:row>15</xdr:row>
      <xdr:rowOff>120299</xdr:rowOff>
    </xdr:from>
    <xdr:to>
      <xdr:col>8</xdr:col>
      <xdr:colOff>944090</xdr:colOff>
      <xdr:row>16</xdr:row>
      <xdr:rowOff>220936</xdr:rowOff>
    </xdr:to>
    <xdr:sp macro="" textlink="">
      <xdr:nvSpPr>
        <xdr:cNvPr id="76" name="TextBox 75">
          <a:extLst>
            <a:ext uri="{FF2B5EF4-FFF2-40B4-BE49-F238E27FC236}">
              <a16:creationId xmlns:a16="http://schemas.microsoft.com/office/drawing/2014/main" id="{00000000-0008-0000-0E00-00004C000000}"/>
            </a:ext>
          </a:extLst>
        </xdr:cNvPr>
        <xdr:cNvSpPr txBox="1"/>
      </xdr:nvSpPr>
      <xdr:spPr>
        <a:xfrm>
          <a:off x="7452360" y="2406299"/>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7</xdr:col>
      <xdr:colOff>198120</xdr:colOff>
      <xdr:row>14</xdr:row>
      <xdr:rowOff>38100</xdr:rowOff>
    </xdr:from>
    <xdr:to>
      <xdr:col>8</xdr:col>
      <xdr:colOff>654530</xdr:colOff>
      <xdr:row>15</xdr:row>
      <xdr:rowOff>138737</xdr:rowOff>
    </xdr:to>
    <xdr:sp macro="" textlink="">
      <xdr:nvSpPr>
        <xdr:cNvPr id="77" name="TextBox 76">
          <a:extLst>
            <a:ext uri="{FF2B5EF4-FFF2-40B4-BE49-F238E27FC236}">
              <a16:creationId xmlns:a16="http://schemas.microsoft.com/office/drawing/2014/main" id="{00000000-0008-0000-0E00-00004D000000}"/>
            </a:ext>
          </a:extLst>
        </xdr:cNvPr>
        <xdr:cNvSpPr txBox="1"/>
      </xdr:nvSpPr>
      <xdr:spPr>
        <a:xfrm>
          <a:off x="7162800" y="209550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6</xdr:col>
      <xdr:colOff>411480</xdr:colOff>
      <xdr:row>13</xdr:row>
      <xdr:rowOff>0</xdr:rowOff>
    </xdr:from>
    <xdr:to>
      <xdr:col>8</xdr:col>
      <xdr:colOff>258290</xdr:colOff>
      <xdr:row>14</xdr:row>
      <xdr:rowOff>100637</xdr:rowOff>
    </xdr:to>
    <xdr:sp macro="" textlink="">
      <xdr:nvSpPr>
        <xdr:cNvPr id="78" name="TextBox 77">
          <a:extLst>
            <a:ext uri="{FF2B5EF4-FFF2-40B4-BE49-F238E27FC236}">
              <a16:creationId xmlns:a16="http://schemas.microsoft.com/office/drawing/2014/main" id="{00000000-0008-0000-0E00-00004E000000}"/>
            </a:ext>
          </a:extLst>
        </xdr:cNvPr>
        <xdr:cNvSpPr txBox="1"/>
      </xdr:nvSpPr>
      <xdr:spPr>
        <a:xfrm>
          <a:off x="6766560" y="182880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6</xdr:col>
      <xdr:colOff>106680</xdr:colOff>
      <xdr:row>11</xdr:row>
      <xdr:rowOff>144780</xdr:rowOff>
    </xdr:from>
    <xdr:to>
      <xdr:col>7</xdr:col>
      <xdr:colOff>1256510</xdr:colOff>
      <xdr:row>13</xdr:row>
      <xdr:rowOff>16817</xdr:rowOff>
    </xdr:to>
    <xdr:sp macro="" textlink="">
      <xdr:nvSpPr>
        <xdr:cNvPr id="79" name="TextBox 78">
          <a:extLst>
            <a:ext uri="{FF2B5EF4-FFF2-40B4-BE49-F238E27FC236}">
              <a16:creationId xmlns:a16="http://schemas.microsoft.com/office/drawing/2014/main" id="{00000000-0008-0000-0E00-00004F000000}"/>
            </a:ext>
          </a:extLst>
        </xdr:cNvPr>
        <xdr:cNvSpPr txBox="1"/>
      </xdr:nvSpPr>
      <xdr:spPr>
        <a:xfrm>
          <a:off x="6461760" y="151638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5</xdr:col>
      <xdr:colOff>647700</xdr:colOff>
      <xdr:row>10</xdr:row>
      <xdr:rowOff>106680</xdr:rowOff>
    </xdr:from>
    <xdr:to>
      <xdr:col>7</xdr:col>
      <xdr:colOff>814550</xdr:colOff>
      <xdr:row>11</xdr:row>
      <xdr:rowOff>207317</xdr:rowOff>
    </xdr:to>
    <xdr:sp macro="" textlink="">
      <xdr:nvSpPr>
        <xdr:cNvPr id="80" name="TextBox 79">
          <a:extLst>
            <a:ext uri="{FF2B5EF4-FFF2-40B4-BE49-F238E27FC236}">
              <a16:creationId xmlns:a16="http://schemas.microsoft.com/office/drawing/2014/main" id="{00000000-0008-0000-0E00-000050000000}"/>
            </a:ext>
          </a:extLst>
        </xdr:cNvPr>
        <xdr:cNvSpPr txBox="1"/>
      </xdr:nvSpPr>
      <xdr:spPr>
        <a:xfrm>
          <a:off x="6019800" y="124968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5</xdr:col>
      <xdr:colOff>266700</xdr:colOff>
      <xdr:row>9</xdr:row>
      <xdr:rowOff>0</xdr:rowOff>
    </xdr:from>
    <xdr:to>
      <xdr:col>7</xdr:col>
      <xdr:colOff>433550</xdr:colOff>
      <xdr:row>10</xdr:row>
      <xdr:rowOff>100637</xdr:rowOff>
    </xdr:to>
    <xdr:sp macro="" textlink="">
      <xdr:nvSpPr>
        <xdr:cNvPr id="81" name="TextBox 80">
          <a:extLst>
            <a:ext uri="{FF2B5EF4-FFF2-40B4-BE49-F238E27FC236}">
              <a16:creationId xmlns:a16="http://schemas.microsoft.com/office/drawing/2014/main" id="{00000000-0008-0000-0E00-000051000000}"/>
            </a:ext>
          </a:extLst>
        </xdr:cNvPr>
        <xdr:cNvSpPr txBox="1"/>
      </xdr:nvSpPr>
      <xdr:spPr>
        <a:xfrm>
          <a:off x="5638800" y="91440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Script</a:t>
          </a:r>
        </a:p>
      </xdr:txBody>
    </xdr:sp>
    <xdr:clientData/>
  </xdr:twoCellAnchor>
  <xdr:twoCellAnchor>
    <xdr:from>
      <xdr:col>4</xdr:col>
      <xdr:colOff>236220</xdr:colOff>
      <xdr:row>15</xdr:row>
      <xdr:rowOff>5999</xdr:rowOff>
    </xdr:from>
    <xdr:to>
      <xdr:col>5</xdr:col>
      <xdr:colOff>799310</xdr:colOff>
      <xdr:row>16</xdr:row>
      <xdr:rowOff>106636</xdr:rowOff>
    </xdr:to>
    <xdr:sp macro="" textlink="">
      <xdr:nvSpPr>
        <xdr:cNvPr id="82" name="TextBox 81">
          <a:extLst>
            <a:ext uri="{FF2B5EF4-FFF2-40B4-BE49-F238E27FC236}">
              <a16:creationId xmlns:a16="http://schemas.microsoft.com/office/drawing/2014/main" id="{00000000-0008-0000-0E00-000052000000}"/>
            </a:ext>
          </a:extLst>
        </xdr:cNvPr>
        <xdr:cNvSpPr txBox="1"/>
      </xdr:nvSpPr>
      <xdr:spPr>
        <a:xfrm>
          <a:off x="4411980" y="2291999"/>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3</xdr:col>
      <xdr:colOff>556260</xdr:colOff>
      <xdr:row>13</xdr:row>
      <xdr:rowOff>152400</xdr:rowOff>
    </xdr:from>
    <xdr:to>
      <xdr:col>5</xdr:col>
      <xdr:colOff>509750</xdr:colOff>
      <xdr:row>15</xdr:row>
      <xdr:rowOff>24437</xdr:rowOff>
    </xdr:to>
    <xdr:sp macro="" textlink="">
      <xdr:nvSpPr>
        <xdr:cNvPr id="83" name="TextBox 82">
          <a:extLst>
            <a:ext uri="{FF2B5EF4-FFF2-40B4-BE49-F238E27FC236}">
              <a16:creationId xmlns:a16="http://schemas.microsoft.com/office/drawing/2014/main" id="{00000000-0008-0000-0E00-000053000000}"/>
            </a:ext>
          </a:extLst>
        </xdr:cNvPr>
        <xdr:cNvSpPr txBox="1"/>
      </xdr:nvSpPr>
      <xdr:spPr>
        <a:xfrm>
          <a:off x="4122420" y="198120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3</xdr:col>
      <xdr:colOff>160020</xdr:colOff>
      <xdr:row>12</xdr:row>
      <xdr:rowOff>114300</xdr:rowOff>
    </xdr:from>
    <xdr:to>
      <xdr:col>5</xdr:col>
      <xdr:colOff>113510</xdr:colOff>
      <xdr:row>13</xdr:row>
      <xdr:rowOff>214937</xdr:rowOff>
    </xdr:to>
    <xdr:sp macro="" textlink="">
      <xdr:nvSpPr>
        <xdr:cNvPr id="84" name="TextBox 83">
          <a:extLst>
            <a:ext uri="{FF2B5EF4-FFF2-40B4-BE49-F238E27FC236}">
              <a16:creationId xmlns:a16="http://schemas.microsoft.com/office/drawing/2014/main" id="{00000000-0008-0000-0E00-000054000000}"/>
            </a:ext>
          </a:extLst>
        </xdr:cNvPr>
        <xdr:cNvSpPr txBox="1"/>
      </xdr:nvSpPr>
      <xdr:spPr>
        <a:xfrm>
          <a:off x="3726180" y="171450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2</xdr:col>
      <xdr:colOff>792480</xdr:colOff>
      <xdr:row>11</xdr:row>
      <xdr:rowOff>30480</xdr:rowOff>
    </xdr:from>
    <xdr:to>
      <xdr:col>4</xdr:col>
      <xdr:colOff>1005050</xdr:colOff>
      <xdr:row>12</xdr:row>
      <xdr:rowOff>131117</xdr:rowOff>
    </xdr:to>
    <xdr:sp macro="" textlink="">
      <xdr:nvSpPr>
        <xdr:cNvPr id="85" name="TextBox 84">
          <a:extLst>
            <a:ext uri="{FF2B5EF4-FFF2-40B4-BE49-F238E27FC236}">
              <a16:creationId xmlns:a16="http://schemas.microsoft.com/office/drawing/2014/main" id="{00000000-0008-0000-0E00-000055000000}"/>
            </a:ext>
          </a:extLst>
        </xdr:cNvPr>
        <xdr:cNvSpPr txBox="1"/>
      </xdr:nvSpPr>
      <xdr:spPr>
        <a:xfrm>
          <a:off x="3421380" y="140208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2</xdr:col>
      <xdr:colOff>350520</xdr:colOff>
      <xdr:row>9</xdr:row>
      <xdr:rowOff>220980</xdr:rowOff>
    </xdr:from>
    <xdr:to>
      <xdr:col>4</xdr:col>
      <xdr:colOff>563090</xdr:colOff>
      <xdr:row>11</xdr:row>
      <xdr:rowOff>93017</xdr:rowOff>
    </xdr:to>
    <xdr:sp macro="" textlink="">
      <xdr:nvSpPr>
        <xdr:cNvPr id="86" name="TextBox 85">
          <a:extLst>
            <a:ext uri="{FF2B5EF4-FFF2-40B4-BE49-F238E27FC236}">
              <a16:creationId xmlns:a16="http://schemas.microsoft.com/office/drawing/2014/main" id="{00000000-0008-0000-0E00-000056000000}"/>
            </a:ext>
          </a:extLst>
        </xdr:cNvPr>
        <xdr:cNvSpPr txBox="1"/>
      </xdr:nvSpPr>
      <xdr:spPr>
        <a:xfrm>
          <a:off x="2979420" y="113538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1</xdr:col>
      <xdr:colOff>1104900</xdr:colOff>
      <xdr:row>8</xdr:row>
      <xdr:rowOff>114300</xdr:rowOff>
    </xdr:from>
    <xdr:to>
      <xdr:col>4</xdr:col>
      <xdr:colOff>182090</xdr:colOff>
      <xdr:row>9</xdr:row>
      <xdr:rowOff>214937</xdr:rowOff>
    </xdr:to>
    <xdr:sp macro="" textlink="">
      <xdr:nvSpPr>
        <xdr:cNvPr id="87" name="TextBox 86">
          <a:extLst>
            <a:ext uri="{FF2B5EF4-FFF2-40B4-BE49-F238E27FC236}">
              <a16:creationId xmlns:a16="http://schemas.microsoft.com/office/drawing/2014/main" id="{00000000-0008-0000-0E00-000057000000}"/>
            </a:ext>
          </a:extLst>
        </xdr:cNvPr>
        <xdr:cNvSpPr txBox="1"/>
      </xdr:nvSpPr>
      <xdr:spPr>
        <a:xfrm>
          <a:off x="2598420" y="80010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1</xdr:col>
      <xdr:colOff>556260</xdr:colOff>
      <xdr:row>15</xdr:row>
      <xdr:rowOff>105059</xdr:rowOff>
    </xdr:from>
    <xdr:to>
      <xdr:col>3</xdr:col>
      <xdr:colOff>243050</xdr:colOff>
      <xdr:row>16</xdr:row>
      <xdr:rowOff>205696</xdr:rowOff>
    </xdr:to>
    <xdr:sp macro="" textlink="">
      <xdr:nvSpPr>
        <xdr:cNvPr id="88" name="TextBox 87">
          <a:extLst>
            <a:ext uri="{FF2B5EF4-FFF2-40B4-BE49-F238E27FC236}">
              <a16:creationId xmlns:a16="http://schemas.microsoft.com/office/drawing/2014/main" id="{00000000-0008-0000-0E00-000058000000}"/>
            </a:ext>
          </a:extLst>
        </xdr:cNvPr>
        <xdr:cNvSpPr txBox="1"/>
      </xdr:nvSpPr>
      <xdr:spPr>
        <a:xfrm>
          <a:off x="2049780" y="2391059"/>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1</xdr:col>
      <xdr:colOff>266700</xdr:colOff>
      <xdr:row>14</xdr:row>
      <xdr:rowOff>22860</xdr:rowOff>
    </xdr:from>
    <xdr:to>
      <xdr:col>2</xdr:col>
      <xdr:colOff>890750</xdr:colOff>
      <xdr:row>15</xdr:row>
      <xdr:rowOff>123497</xdr:rowOff>
    </xdr:to>
    <xdr:sp macro="" textlink="">
      <xdr:nvSpPr>
        <xdr:cNvPr id="89" name="TextBox 88">
          <a:extLst>
            <a:ext uri="{FF2B5EF4-FFF2-40B4-BE49-F238E27FC236}">
              <a16:creationId xmlns:a16="http://schemas.microsoft.com/office/drawing/2014/main" id="{00000000-0008-0000-0E00-000059000000}"/>
            </a:ext>
          </a:extLst>
        </xdr:cNvPr>
        <xdr:cNvSpPr txBox="1"/>
      </xdr:nvSpPr>
      <xdr:spPr>
        <a:xfrm>
          <a:off x="1760220" y="208026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0</xdr:col>
      <xdr:colOff>480060</xdr:colOff>
      <xdr:row>12</xdr:row>
      <xdr:rowOff>213360</xdr:rowOff>
    </xdr:from>
    <xdr:to>
      <xdr:col>2</xdr:col>
      <xdr:colOff>494510</xdr:colOff>
      <xdr:row>14</xdr:row>
      <xdr:rowOff>85397</xdr:rowOff>
    </xdr:to>
    <xdr:sp macro="" textlink="">
      <xdr:nvSpPr>
        <xdr:cNvPr id="90" name="TextBox 89">
          <a:extLst>
            <a:ext uri="{FF2B5EF4-FFF2-40B4-BE49-F238E27FC236}">
              <a16:creationId xmlns:a16="http://schemas.microsoft.com/office/drawing/2014/main" id="{00000000-0008-0000-0E00-00005A000000}"/>
            </a:ext>
          </a:extLst>
        </xdr:cNvPr>
        <xdr:cNvSpPr txBox="1"/>
      </xdr:nvSpPr>
      <xdr:spPr>
        <a:xfrm>
          <a:off x="1363980" y="181356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0</xdr:col>
      <xdr:colOff>175260</xdr:colOff>
      <xdr:row>11</xdr:row>
      <xdr:rowOff>129540</xdr:rowOff>
    </xdr:from>
    <xdr:to>
      <xdr:col>2</xdr:col>
      <xdr:colOff>189710</xdr:colOff>
      <xdr:row>13</xdr:row>
      <xdr:rowOff>1577</xdr:rowOff>
    </xdr:to>
    <xdr:sp macro="" textlink="">
      <xdr:nvSpPr>
        <xdr:cNvPr id="91" name="TextBox 90">
          <a:extLst>
            <a:ext uri="{FF2B5EF4-FFF2-40B4-BE49-F238E27FC236}">
              <a16:creationId xmlns:a16="http://schemas.microsoft.com/office/drawing/2014/main" id="{00000000-0008-0000-0E00-00005B000000}"/>
            </a:ext>
          </a:extLst>
        </xdr:cNvPr>
        <xdr:cNvSpPr txBox="1"/>
      </xdr:nvSpPr>
      <xdr:spPr>
        <a:xfrm>
          <a:off x="1059180" y="150114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0</xdr:col>
      <xdr:colOff>0</xdr:colOff>
      <xdr:row>10</xdr:row>
      <xdr:rowOff>91440</xdr:rowOff>
    </xdr:from>
    <xdr:to>
      <xdr:col>1</xdr:col>
      <xdr:colOff>883130</xdr:colOff>
      <xdr:row>11</xdr:row>
      <xdr:rowOff>192077</xdr:rowOff>
    </xdr:to>
    <xdr:sp macro="" textlink="">
      <xdr:nvSpPr>
        <xdr:cNvPr id="92" name="TextBox 91">
          <a:extLst>
            <a:ext uri="{FF2B5EF4-FFF2-40B4-BE49-F238E27FC236}">
              <a16:creationId xmlns:a16="http://schemas.microsoft.com/office/drawing/2014/main" id="{00000000-0008-0000-0E00-00005C000000}"/>
            </a:ext>
          </a:extLst>
        </xdr:cNvPr>
        <xdr:cNvSpPr txBox="1"/>
      </xdr:nvSpPr>
      <xdr:spPr>
        <a:xfrm>
          <a:off x="617220" y="123444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Issue</a:t>
          </a:r>
        </a:p>
      </xdr:txBody>
    </xdr:sp>
    <xdr:clientData/>
  </xdr:twoCellAnchor>
  <xdr:twoCellAnchor>
    <xdr:from>
      <xdr:col>0</xdr:col>
      <xdr:colOff>0</xdr:colOff>
      <xdr:row>8</xdr:row>
      <xdr:rowOff>213360</xdr:rowOff>
    </xdr:from>
    <xdr:to>
      <xdr:col>1</xdr:col>
      <xdr:colOff>502130</xdr:colOff>
      <xdr:row>10</xdr:row>
      <xdr:rowOff>85397</xdr:rowOff>
    </xdr:to>
    <xdr:sp macro="" textlink="">
      <xdr:nvSpPr>
        <xdr:cNvPr id="93" name="TextBox 92">
          <a:extLst>
            <a:ext uri="{FF2B5EF4-FFF2-40B4-BE49-F238E27FC236}">
              <a16:creationId xmlns:a16="http://schemas.microsoft.com/office/drawing/2014/main" id="{00000000-0008-0000-0E00-00005D000000}"/>
            </a:ext>
          </a:extLst>
        </xdr:cNvPr>
        <xdr:cNvSpPr txBox="1"/>
      </xdr:nvSpPr>
      <xdr:spPr>
        <a:xfrm>
          <a:off x="236220" y="899160"/>
          <a:ext cx="1759430" cy="3292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Agent training</a:t>
          </a:r>
        </a:p>
      </xdr:txBody>
    </xdr:sp>
    <xdr:clientData/>
  </xdr:twoCellAnchor>
  <xdr:twoCellAnchor>
    <xdr:from>
      <xdr:col>0</xdr:col>
      <xdr:colOff>210820</xdr:colOff>
      <xdr:row>18</xdr:row>
      <xdr:rowOff>144780</xdr:rowOff>
    </xdr:from>
    <xdr:to>
      <xdr:col>2</xdr:col>
      <xdr:colOff>161770</xdr:colOff>
      <xdr:row>20</xdr:row>
      <xdr:rowOff>29517</xdr:rowOff>
    </xdr:to>
    <xdr:sp macro="" textlink="">
      <xdr:nvSpPr>
        <xdr:cNvPr id="52" name="TextBox 51">
          <a:extLst>
            <a:ext uri="{FF2B5EF4-FFF2-40B4-BE49-F238E27FC236}">
              <a16:creationId xmlns:a16="http://schemas.microsoft.com/office/drawing/2014/main" id="{00000000-0008-0000-0E00-000034000000}"/>
            </a:ext>
          </a:extLst>
        </xdr:cNvPr>
        <xdr:cNvSpPr txBox="1"/>
      </xdr:nvSpPr>
      <xdr:spPr>
        <a:xfrm>
          <a:off x="210820" y="3116580"/>
          <a:ext cx="1881350" cy="2911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Asset Availability</a:t>
          </a:r>
        </a:p>
      </xdr:txBody>
    </xdr:sp>
    <xdr:clientData/>
  </xdr:twoCellAnchor>
  <xdr:twoCellAnchor>
    <xdr:from>
      <xdr:col>0</xdr:col>
      <xdr:colOff>198120</xdr:colOff>
      <xdr:row>19</xdr:row>
      <xdr:rowOff>157480</xdr:rowOff>
    </xdr:from>
    <xdr:to>
      <xdr:col>2</xdr:col>
      <xdr:colOff>149070</xdr:colOff>
      <xdr:row>21</xdr:row>
      <xdr:rowOff>42217</xdr:rowOff>
    </xdr:to>
    <xdr:sp macro="" textlink="">
      <xdr:nvSpPr>
        <xdr:cNvPr id="53" name="TextBox 52">
          <a:extLst>
            <a:ext uri="{FF2B5EF4-FFF2-40B4-BE49-F238E27FC236}">
              <a16:creationId xmlns:a16="http://schemas.microsoft.com/office/drawing/2014/main" id="{00000000-0008-0000-0E00-000035000000}"/>
            </a:ext>
          </a:extLst>
        </xdr:cNvPr>
        <xdr:cNvSpPr txBox="1"/>
      </xdr:nvSpPr>
      <xdr:spPr>
        <a:xfrm>
          <a:off x="198120" y="3332480"/>
          <a:ext cx="1881350" cy="291137"/>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GB" sz="1100">
              <a:latin typeface="Quicksand" pitchFamily="2" charset="0"/>
            </a:rPr>
            <a:t>Asset Quality</a:t>
          </a:r>
        </a:p>
      </xdr:txBody>
    </xdr:sp>
    <xdr:clientData/>
  </xdr:twoCellAnchor>
  <xdr:twoCellAnchor>
    <xdr:from>
      <xdr:col>2</xdr:col>
      <xdr:colOff>161770</xdr:colOff>
      <xdr:row>19</xdr:row>
      <xdr:rowOff>87149</xdr:rowOff>
    </xdr:from>
    <xdr:to>
      <xdr:col>2</xdr:col>
      <xdr:colOff>787400</xdr:colOff>
      <xdr:row>20</xdr:row>
      <xdr:rowOff>12700</xdr:rowOff>
    </xdr:to>
    <xdr:cxnSp macro="">
      <xdr:nvCxnSpPr>
        <xdr:cNvPr id="4" name="Straight Arrow Connector 3">
          <a:extLst>
            <a:ext uri="{FF2B5EF4-FFF2-40B4-BE49-F238E27FC236}">
              <a16:creationId xmlns:a16="http://schemas.microsoft.com/office/drawing/2014/main" id="{00000000-0008-0000-0E00-000004000000}"/>
            </a:ext>
          </a:extLst>
        </xdr:cNvPr>
        <xdr:cNvCxnSpPr>
          <a:stCxn id="52" idx="3"/>
        </xdr:cNvCxnSpPr>
      </xdr:nvCxnSpPr>
      <xdr:spPr>
        <a:xfrm>
          <a:off x="2092170" y="3262149"/>
          <a:ext cx="625630" cy="128751"/>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123670</xdr:colOff>
      <xdr:row>20</xdr:row>
      <xdr:rowOff>25400</xdr:rowOff>
    </xdr:from>
    <xdr:to>
      <xdr:col>2</xdr:col>
      <xdr:colOff>749300</xdr:colOff>
      <xdr:row>20</xdr:row>
      <xdr:rowOff>87149</xdr:rowOff>
    </xdr:to>
    <xdr:cxnSp macro="">
      <xdr:nvCxnSpPr>
        <xdr:cNvPr id="62" name="Straight Arrow Connector 61">
          <a:extLst>
            <a:ext uri="{FF2B5EF4-FFF2-40B4-BE49-F238E27FC236}">
              <a16:creationId xmlns:a16="http://schemas.microsoft.com/office/drawing/2014/main" id="{00000000-0008-0000-0E00-00003E000000}"/>
            </a:ext>
          </a:extLst>
        </xdr:cNvPr>
        <xdr:cNvCxnSpPr/>
      </xdr:nvCxnSpPr>
      <xdr:spPr>
        <a:xfrm flipV="1">
          <a:off x="2054070" y="3403600"/>
          <a:ext cx="625630" cy="6174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xdr:from>
      <xdr:col>14</xdr:col>
      <xdr:colOff>331470</xdr:colOff>
      <xdr:row>0</xdr:row>
      <xdr:rowOff>0</xdr:rowOff>
    </xdr:from>
    <xdr:to>
      <xdr:col>20</xdr:col>
      <xdr:colOff>514350</xdr:colOff>
      <xdr:row>12</xdr:row>
      <xdr:rowOff>167640</xdr:rowOff>
    </xdr:to>
    <xdr:graphicFrame macro="">
      <xdr:nvGraphicFramePr>
        <xdr:cNvPr id="2" name="Chart 1">
          <a:extLst>
            <a:ext uri="{FF2B5EF4-FFF2-40B4-BE49-F238E27FC236}">
              <a16:creationId xmlns:a16="http://schemas.microsoft.com/office/drawing/2014/main" id="{00000000-0008-0000-0F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331470</xdr:colOff>
      <xdr:row>12</xdr:row>
      <xdr:rowOff>167640</xdr:rowOff>
    </xdr:from>
    <xdr:to>
      <xdr:col>19</xdr:col>
      <xdr:colOff>358140</xdr:colOff>
      <xdr:row>22</xdr:row>
      <xdr:rowOff>133350</xdr:rowOff>
    </xdr:to>
    <xdr:graphicFrame macro="">
      <xdr:nvGraphicFramePr>
        <xdr:cNvPr id="3" name="Chart 2">
          <a:extLst>
            <a:ext uri="{FF2B5EF4-FFF2-40B4-BE49-F238E27FC236}">
              <a16:creationId xmlns:a16="http://schemas.microsoft.com/office/drawing/2014/main" id="{00000000-0008-0000-0F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8</xdr:col>
      <xdr:colOff>15240</xdr:colOff>
      <xdr:row>0</xdr:row>
      <xdr:rowOff>45720</xdr:rowOff>
    </xdr:from>
    <xdr:to>
      <xdr:col>18</xdr:col>
      <xdr:colOff>0</xdr:colOff>
      <xdr:row>10</xdr:row>
      <xdr:rowOff>22860</xdr:rowOff>
    </xdr:to>
    <xdr:sp macro="" textlink="">
      <xdr:nvSpPr>
        <xdr:cNvPr id="2" name="Content Placeholder 2">
          <a:extLst>
            <a:ext uri="{FF2B5EF4-FFF2-40B4-BE49-F238E27FC236}">
              <a16:creationId xmlns:a16="http://schemas.microsoft.com/office/drawing/2014/main" id="{00000000-0008-0000-1200-000002000000}"/>
            </a:ext>
          </a:extLst>
        </xdr:cNvPr>
        <xdr:cNvSpPr>
          <a:spLocks noGrp="1"/>
        </xdr:cNvSpPr>
      </xdr:nvSpPr>
      <xdr:spPr>
        <a:xfrm>
          <a:off x="7520940" y="45720"/>
          <a:ext cx="6080760" cy="1805940"/>
        </a:xfrm>
        <a:prstGeom prst="rect">
          <a:avLst/>
        </a:prstGeom>
        <a:solidFill>
          <a:schemeClr val="bg1">
            <a:lumMod val="95000"/>
          </a:schemeClr>
        </a:solidFill>
      </xdr:spPr>
      <xdr:txBody>
        <a:bodyPr vert="horz" wrap="square" lIns="91440" tIns="45720" rIns="91440" bIns="45720" rtlCol="0">
          <a:normAutofit/>
        </a:bodyPr>
        <a:lstStyle>
          <a:lvl1pPr marL="228600" indent="-228600" algn="l" defTabSz="914400" rtl="0" eaLnBrk="1" latinLnBrk="0" hangingPunct="1">
            <a:lnSpc>
              <a:spcPct val="90000"/>
            </a:lnSpc>
            <a:spcBef>
              <a:spcPts val="1000"/>
            </a:spcBef>
            <a:buFont typeface="Arial" panose="020B0604020202020204" pitchFamily="34" charset="0"/>
            <a:buChar char="•"/>
            <a:defRPr sz="1400" kern="1200">
              <a:solidFill>
                <a:schemeClr val="tx1"/>
              </a:solidFill>
              <a:latin typeface="+mn-lt"/>
              <a:ea typeface="+mn-ea"/>
              <a:cs typeface="+mn-cs"/>
            </a:defRPr>
          </a:lvl1pPr>
          <a:lvl2pPr marL="685800" indent="-228600" algn="l" defTabSz="914400" rtl="0" eaLnBrk="1" latinLnBrk="0" hangingPunct="1">
            <a:lnSpc>
              <a:spcPct val="90000"/>
            </a:lnSpc>
            <a:spcBef>
              <a:spcPts val="500"/>
            </a:spcBef>
            <a:buFont typeface="Arial" panose="020B0604020202020204" pitchFamily="34" charset="0"/>
            <a:buChar char="•"/>
            <a:defRPr sz="1400" kern="1200">
              <a:solidFill>
                <a:schemeClr val="tx1"/>
              </a:solidFill>
              <a:latin typeface="+mn-lt"/>
              <a:ea typeface="+mn-ea"/>
              <a:cs typeface="+mn-cs"/>
            </a:defRPr>
          </a:lvl2pPr>
          <a:lvl3pPr marL="1143000" indent="-228600" algn="l" defTabSz="914400" rtl="0" eaLnBrk="1" latinLnBrk="0" hangingPunct="1">
            <a:lnSpc>
              <a:spcPct val="90000"/>
            </a:lnSpc>
            <a:spcBef>
              <a:spcPts val="500"/>
            </a:spcBef>
            <a:buFont typeface="Arial" panose="020B0604020202020204" pitchFamily="34" charset="0"/>
            <a:buChar char="•"/>
            <a:defRPr sz="1400" kern="1200">
              <a:solidFill>
                <a:schemeClr val="tx1"/>
              </a:solidFill>
              <a:latin typeface="+mn-lt"/>
              <a:ea typeface="+mn-ea"/>
              <a:cs typeface="+mn-cs"/>
            </a:defRPr>
          </a:lvl3pPr>
          <a:lvl4pPr marL="1600200" indent="-228600" algn="l" defTabSz="914400" rtl="0" eaLnBrk="1" latinLnBrk="0" hangingPunct="1">
            <a:lnSpc>
              <a:spcPct val="90000"/>
            </a:lnSpc>
            <a:spcBef>
              <a:spcPts val="500"/>
            </a:spcBef>
            <a:buFont typeface="Arial" panose="020B0604020202020204" pitchFamily="34" charset="0"/>
            <a:buChar char="•"/>
            <a:defRPr sz="1400" kern="1200">
              <a:solidFill>
                <a:schemeClr val="tx1"/>
              </a:solidFill>
              <a:latin typeface="+mn-lt"/>
              <a:ea typeface="+mn-ea"/>
              <a:cs typeface="+mn-cs"/>
            </a:defRPr>
          </a:lvl4pPr>
          <a:lvl5pPr marL="2057400" indent="-228600" algn="l" defTabSz="914400" rtl="0" eaLnBrk="1" latinLnBrk="0" hangingPunct="1">
            <a:lnSpc>
              <a:spcPct val="90000"/>
            </a:lnSpc>
            <a:spcBef>
              <a:spcPts val="500"/>
            </a:spcBef>
            <a:buFont typeface="Arial" panose="020B0604020202020204" pitchFamily="34" charset="0"/>
            <a:buChar char="•"/>
            <a:defRPr sz="1400" kern="1200">
              <a:solidFill>
                <a:schemeClr val="tx1"/>
              </a:solidFill>
              <a:latin typeface="+mn-lt"/>
              <a:ea typeface="+mn-ea"/>
              <a:cs typeface="+mn-cs"/>
            </a:defRPr>
          </a:lvl5pPr>
          <a:lvl6pPr marL="2514600" indent="-228600" algn="l" defTabSz="914400" rtl="0" eaLnBrk="1" latinLnBrk="0" hangingPunct="1">
            <a:lnSpc>
              <a:spcPct val="90000"/>
            </a:lnSpc>
            <a:spcBef>
              <a:spcPts val="500"/>
            </a:spcBef>
            <a:buFont typeface="Arial" panose="020B0604020202020204" pitchFamily="34" charset="0"/>
            <a:buChar char="•"/>
            <a:defRPr sz="1800" kern="1200">
              <a:solidFill>
                <a:schemeClr val="tx1"/>
              </a:solidFill>
              <a:latin typeface="+mn-lt"/>
              <a:ea typeface="+mn-ea"/>
              <a:cs typeface="+mn-cs"/>
            </a:defRPr>
          </a:lvl6pPr>
          <a:lvl7pPr marL="2971800" indent="-228600" algn="l" defTabSz="914400" rtl="0" eaLnBrk="1" latinLnBrk="0" hangingPunct="1">
            <a:lnSpc>
              <a:spcPct val="90000"/>
            </a:lnSpc>
            <a:spcBef>
              <a:spcPts val="500"/>
            </a:spcBef>
            <a:buFont typeface="Arial" panose="020B0604020202020204" pitchFamily="34" charset="0"/>
            <a:buChar char="•"/>
            <a:defRPr sz="1800" kern="1200">
              <a:solidFill>
                <a:schemeClr val="tx1"/>
              </a:solidFill>
              <a:latin typeface="+mn-lt"/>
              <a:ea typeface="+mn-ea"/>
              <a:cs typeface="+mn-cs"/>
            </a:defRPr>
          </a:lvl7pPr>
          <a:lvl8pPr marL="3429000" indent="-228600" algn="l" defTabSz="914400" rtl="0" eaLnBrk="1" latinLnBrk="0" hangingPunct="1">
            <a:lnSpc>
              <a:spcPct val="90000"/>
            </a:lnSpc>
            <a:spcBef>
              <a:spcPts val="500"/>
            </a:spcBef>
            <a:buFont typeface="Arial" panose="020B0604020202020204" pitchFamily="34" charset="0"/>
            <a:buChar char="•"/>
            <a:defRPr sz="1800" kern="1200">
              <a:solidFill>
                <a:schemeClr val="tx1"/>
              </a:solidFill>
              <a:latin typeface="+mn-lt"/>
              <a:ea typeface="+mn-ea"/>
              <a:cs typeface="+mn-cs"/>
            </a:defRPr>
          </a:lvl8pPr>
          <a:lvl9pPr marL="3886200" indent="-228600" algn="l" defTabSz="914400" rtl="0" eaLnBrk="1" latinLnBrk="0" hangingPunct="1">
            <a:lnSpc>
              <a:spcPct val="90000"/>
            </a:lnSpc>
            <a:spcBef>
              <a:spcPts val="500"/>
            </a:spcBef>
            <a:buFont typeface="Arial" panose="020B0604020202020204" pitchFamily="34" charset="0"/>
            <a:buChar char="•"/>
            <a:defRPr sz="1800" kern="1200">
              <a:solidFill>
                <a:schemeClr val="tx1"/>
              </a:solidFill>
              <a:latin typeface="+mn-lt"/>
              <a:ea typeface="+mn-ea"/>
              <a:cs typeface="+mn-cs"/>
            </a:defRPr>
          </a:lvl9pPr>
        </a:lstStyle>
        <a:p>
          <a:pPr marL="0" indent="0">
            <a:buNone/>
          </a:pPr>
          <a:r>
            <a:rPr lang="en-GB" sz="1200" b="1">
              <a:latin typeface="Calibri" panose="020F0502020204030204" pitchFamily="34" charset="0"/>
              <a:cs typeface="Calibri" panose="020F0502020204030204" pitchFamily="34" charset="0"/>
            </a:rPr>
            <a:t>Continuous / Variable data:</a:t>
          </a:r>
        </a:p>
        <a:p>
          <a:r>
            <a:rPr lang="en-GB" sz="1200">
              <a:latin typeface="Calibri" panose="020F0502020204030204" pitchFamily="34" charset="0"/>
              <a:cs typeface="Calibri" panose="020F0502020204030204" pitchFamily="34" charset="0"/>
            </a:rPr>
            <a:t>Estimate the St. dev of the process: for example if historically invoices take between 10-30 days, an estimate of the St. Dev is 4 days.</a:t>
          </a:r>
        </a:p>
        <a:p>
          <a:r>
            <a:rPr lang="en-GB" sz="1200">
              <a:latin typeface="Calibri" panose="020F0502020204030204" pitchFamily="34" charset="0"/>
              <a:cs typeface="Calibri" panose="020F0502020204030204" pitchFamily="34" charset="0"/>
            </a:rPr>
            <a:t>Decide on the precision required: e.g. +/- 2 days (tolerated margin of error on results).</a:t>
          </a:r>
        </a:p>
        <a:p>
          <a:r>
            <a:rPr lang="en-GB" sz="1200">
              <a:latin typeface="Calibri" panose="020F0502020204030204" pitchFamily="34" charset="0"/>
              <a:cs typeface="Calibri" panose="020F0502020204030204" pitchFamily="34" charset="0"/>
            </a:rPr>
            <a:t>Calculate the Minimum Sample Size (MSS).</a:t>
          </a:r>
        </a:p>
        <a:p>
          <a:r>
            <a:rPr lang="en-GB" sz="1200">
              <a:latin typeface="Calibri" panose="020F0502020204030204" pitchFamily="34" charset="0"/>
              <a:cs typeface="Calibri" panose="020F0502020204030204" pitchFamily="34" charset="0"/>
            </a:rPr>
            <a:t>If</a:t>
          </a:r>
          <a:r>
            <a:rPr lang="en-GB" sz="1200" baseline="0">
              <a:latin typeface="Calibri" panose="020F0502020204030204" pitchFamily="34" charset="0"/>
              <a:cs typeface="Calibri" panose="020F0502020204030204" pitchFamily="34" charset="0"/>
            </a:rPr>
            <a:t> you are unsure about st. dev and/or precision, calculate for a range of values relevant for your process and agree was is practical with your stakeholders.</a:t>
          </a:r>
        </a:p>
      </xdr:txBody>
    </xdr:sp>
    <xdr:clientData/>
  </xdr:twoCellAnchor>
  <xdr:twoCellAnchor>
    <xdr:from>
      <xdr:col>8</xdr:col>
      <xdr:colOff>7620</xdr:colOff>
      <xdr:row>10</xdr:row>
      <xdr:rowOff>114300</xdr:rowOff>
    </xdr:from>
    <xdr:to>
      <xdr:col>18</xdr:col>
      <xdr:colOff>7620</xdr:colOff>
      <xdr:row>21</xdr:row>
      <xdr:rowOff>83820</xdr:rowOff>
    </xdr:to>
    <xdr:sp macro="" textlink="">
      <xdr:nvSpPr>
        <xdr:cNvPr id="3" name="Content Placeholder 2">
          <a:extLst>
            <a:ext uri="{FF2B5EF4-FFF2-40B4-BE49-F238E27FC236}">
              <a16:creationId xmlns:a16="http://schemas.microsoft.com/office/drawing/2014/main" id="{00000000-0008-0000-1200-000003000000}"/>
            </a:ext>
          </a:extLst>
        </xdr:cNvPr>
        <xdr:cNvSpPr txBox="1">
          <a:spLocks/>
        </xdr:cNvSpPr>
      </xdr:nvSpPr>
      <xdr:spPr bwMode="auto">
        <a:xfrm>
          <a:off x="7513320" y="1943100"/>
          <a:ext cx="6096000" cy="1981200"/>
        </a:xfrm>
        <a:prstGeom prst="rect">
          <a:avLst/>
        </a:prstGeom>
        <a:solidFill>
          <a:schemeClr val="bg1">
            <a:lumMod val="95000"/>
          </a:schemeClr>
        </a:solidFill>
        <a:ln>
          <a:noFill/>
        </a:ln>
        <a:extLst>
          <a:ext uri="{FAA26D3D-D897-4be2-8F04-BA451C77F1D7}">
            <ma14:placeholderFlag xmlns:r="http://schemas.openxmlformats.org/officeDocument/2006/relationships" xmlns:p="http://schemas.openxmlformats.org/presentationml/2006/main" xmlns:ma14="http://schemas.microsoft.com/office/mac/drawingml/2011/main" xmlns="" xmlns:lc="http://schemas.openxmlformats.org/drawingml/2006/lockedCanvas" val="1"/>
          </a:ext>
        </a:extLst>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indent="0">
            <a:buNone/>
          </a:pPr>
          <a:r>
            <a:rPr lang="en-GB" sz="1200" b="1" kern="0">
              <a:solidFill>
                <a:schemeClr val="tx1"/>
              </a:solidFill>
              <a:latin typeface="Calibri" panose="020F0502020204030204" pitchFamily="34" charset="0"/>
              <a:cs typeface="Calibri" panose="020F0502020204030204" pitchFamily="34" charset="0"/>
            </a:rPr>
            <a:t>Discrete / Attribute data:</a:t>
          </a:r>
        </a:p>
        <a:p>
          <a:pPr marL="228600" indent="-228600" algn="l" defTabSz="914400" rtl="0" eaLnBrk="1" latinLnBrk="0" hangingPunct="1">
            <a:lnSpc>
              <a:spcPct val="90000"/>
            </a:lnSpc>
            <a:spcBef>
              <a:spcPts val="1000"/>
            </a:spcBef>
            <a:buFont typeface="Arial" panose="020B0604020202020204" pitchFamily="34" charset="0"/>
            <a:buChar char="•"/>
          </a:pPr>
          <a:r>
            <a:rPr lang="en-GB" sz="1200" kern="1200">
              <a:solidFill>
                <a:schemeClr val="tx1"/>
              </a:solidFill>
              <a:latin typeface="Calibri" panose="020F0502020204030204" pitchFamily="34" charset="0"/>
              <a:ea typeface="+mn-ea"/>
              <a:cs typeface="Calibri" panose="020F0502020204030204" pitchFamily="34" charset="0"/>
            </a:rPr>
            <a:t>Estimate</a:t>
          </a:r>
          <a:r>
            <a:rPr lang="en-GB" sz="1200" b="0" kern="1200">
              <a:solidFill>
                <a:schemeClr val="tx1"/>
              </a:solidFill>
              <a:latin typeface="Calibri" panose="020F0502020204030204" pitchFamily="34" charset="0"/>
              <a:ea typeface="+mn-ea"/>
              <a:cs typeface="Calibri" panose="020F0502020204030204" pitchFamily="34" charset="0"/>
            </a:rPr>
            <a:t> the </a:t>
          </a:r>
          <a:r>
            <a:rPr lang="en-GB" sz="1200" b="1" kern="1200">
              <a:solidFill>
                <a:schemeClr val="tx1"/>
              </a:solidFill>
              <a:latin typeface="Calibri" panose="020F0502020204030204" pitchFamily="34" charset="0"/>
              <a:ea typeface="+mn-ea"/>
              <a:cs typeface="Calibri" panose="020F0502020204030204" pitchFamily="34" charset="0"/>
            </a:rPr>
            <a:t>proportion of defects </a:t>
          </a:r>
          <a:r>
            <a:rPr lang="en-GB" sz="1200" b="0" kern="1200">
              <a:solidFill>
                <a:schemeClr val="tx1"/>
              </a:solidFill>
              <a:latin typeface="Calibri" panose="020F0502020204030204" pitchFamily="34" charset="0"/>
              <a:ea typeface="+mn-ea"/>
              <a:cs typeface="Calibri" panose="020F0502020204030204" pitchFamily="34" charset="0"/>
            </a:rPr>
            <a:t>for the process </a:t>
          </a:r>
          <a:r>
            <a:rPr lang="en-GB" sz="1200" b="1" kern="1200">
              <a:solidFill>
                <a:schemeClr val="tx1"/>
              </a:solidFill>
              <a:latin typeface="Calibri" panose="020F0502020204030204" pitchFamily="34" charset="0"/>
              <a:ea typeface="+mn-ea"/>
              <a:cs typeface="Calibri" panose="020F0502020204030204" pitchFamily="34" charset="0"/>
            </a:rPr>
            <a:t>(p): </a:t>
          </a:r>
          <a:r>
            <a:rPr lang="en-GB" sz="1200" kern="1200">
              <a:solidFill>
                <a:schemeClr val="tx1"/>
              </a:solidFill>
              <a:latin typeface="Calibri" panose="020F0502020204030204" pitchFamily="34" charset="0"/>
              <a:ea typeface="+mn-ea"/>
              <a:cs typeface="Calibri" panose="020F0502020204030204" pitchFamily="34" charset="0"/>
            </a:rPr>
            <a:t>historically the proportion is around 10% (or 0.10)</a:t>
          </a:r>
        </a:p>
        <a:p>
          <a:pPr marL="228600" indent="-228600" algn="l" defTabSz="914400" rtl="0" eaLnBrk="1" latinLnBrk="0" hangingPunct="1">
            <a:lnSpc>
              <a:spcPct val="90000"/>
            </a:lnSpc>
            <a:spcBef>
              <a:spcPts val="1000"/>
            </a:spcBef>
            <a:buFont typeface="Arial" panose="020B0604020202020204" pitchFamily="34" charset="0"/>
            <a:buChar char="•"/>
          </a:pPr>
          <a:r>
            <a:rPr lang="en-GB" sz="1200" kern="1200">
              <a:solidFill>
                <a:schemeClr val="tx1"/>
              </a:solidFill>
              <a:latin typeface="Calibri" panose="020F0502020204030204" pitchFamily="34" charset="0"/>
              <a:ea typeface="+mn-ea"/>
              <a:cs typeface="Calibri" panose="020F0502020204030204" pitchFamily="34" charset="0"/>
            </a:rPr>
            <a:t>Decide on the </a:t>
          </a:r>
          <a:r>
            <a:rPr lang="en-GB" sz="1200" b="1" kern="1200">
              <a:solidFill>
                <a:schemeClr val="tx1"/>
              </a:solidFill>
              <a:latin typeface="Calibri" panose="020F0502020204030204" pitchFamily="34" charset="0"/>
              <a:ea typeface="+mn-ea"/>
              <a:cs typeface="Calibri" panose="020F0502020204030204" pitchFamily="34" charset="0"/>
            </a:rPr>
            <a:t>precision required (d) </a:t>
          </a:r>
          <a:r>
            <a:rPr lang="en-GB" sz="1200" kern="1200">
              <a:solidFill>
                <a:schemeClr val="tx1"/>
              </a:solidFill>
              <a:latin typeface="Calibri" panose="020F0502020204030204" pitchFamily="34" charset="0"/>
              <a:ea typeface="+mn-ea"/>
              <a:cs typeface="Calibri" panose="020F0502020204030204" pitchFamily="34" charset="0"/>
            </a:rPr>
            <a:t>e.g. +/- 1.5% (or 0.015)  (tolerated margin of error on results)</a:t>
          </a:r>
        </a:p>
        <a:p>
          <a:pPr marL="228600" indent="-228600" algn="l" defTabSz="914400" rtl="0" eaLnBrk="1" latinLnBrk="0" hangingPunct="1">
            <a:lnSpc>
              <a:spcPct val="90000"/>
            </a:lnSpc>
            <a:spcBef>
              <a:spcPts val="1000"/>
            </a:spcBef>
            <a:buFont typeface="Arial" panose="020B0604020202020204" pitchFamily="34" charset="0"/>
            <a:buChar char="•"/>
          </a:pPr>
          <a:r>
            <a:rPr lang="en-GB" sz="1200" kern="1200">
              <a:solidFill>
                <a:schemeClr val="tx1"/>
              </a:solidFill>
              <a:latin typeface="Calibri" panose="020F0502020204030204" pitchFamily="34" charset="0"/>
              <a:ea typeface="+mn-ea"/>
              <a:cs typeface="Calibri" panose="020F0502020204030204" pitchFamily="34" charset="0"/>
            </a:rPr>
            <a:t>Calculate the minimum sample size (MSS)</a:t>
          </a:r>
        </a:p>
        <a:p>
          <a:pPr marL="228600" marR="0" lvl="0" indent="-228600" algn="l" defTabSz="914400" rtl="0" eaLnBrk="1" fontAlgn="auto" latinLnBrk="0" hangingPunct="1">
            <a:lnSpc>
              <a:spcPct val="90000"/>
            </a:lnSpc>
            <a:spcBef>
              <a:spcPts val="1000"/>
            </a:spcBef>
            <a:spcAft>
              <a:spcPts val="0"/>
            </a:spcAft>
            <a:buClrTx/>
            <a:buSzTx/>
            <a:buFont typeface="Arial" panose="020B0604020202020204" pitchFamily="34" charset="0"/>
            <a:buChar char="•"/>
            <a:tabLst/>
            <a:defRPr/>
          </a:pPr>
          <a:r>
            <a:rPr lang="en-GB" sz="1200" kern="1200">
              <a:solidFill>
                <a:schemeClr val="tx1"/>
              </a:solidFill>
              <a:latin typeface="Calibri" panose="020F0502020204030204" pitchFamily="34" charset="0"/>
              <a:ea typeface="+mn-ea"/>
              <a:cs typeface="Calibri" panose="020F0502020204030204" pitchFamily="34" charset="0"/>
            </a:rPr>
            <a:t>If you are unsure about st. dev and/or precision you should</a:t>
          </a:r>
          <a:r>
            <a:rPr lang="en-GB" sz="1200" kern="1200" baseline="0">
              <a:solidFill>
                <a:schemeClr val="tx1"/>
              </a:solidFill>
              <a:latin typeface="Calibri" panose="020F0502020204030204" pitchFamily="34" charset="0"/>
              <a:ea typeface="+mn-ea"/>
              <a:cs typeface="Calibri" panose="020F0502020204030204" pitchFamily="34" charset="0"/>
            </a:rPr>
            <a:t> use, </a:t>
          </a:r>
          <a:r>
            <a:rPr lang="en-GB" sz="1200" kern="1200">
              <a:solidFill>
                <a:schemeClr val="tx1"/>
              </a:solidFill>
              <a:latin typeface="Calibri" panose="020F0502020204030204" pitchFamily="34" charset="0"/>
              <a:ea typeface="+mn-ea"/>
              <a:cs typeface="Calibri" panose="020F0502020204030204" pitchFamily="34" charset="0"/>
            </a:rPr>
            <a:t>calculate for a range of values relevant for your process and agree was is practical</a:t>
          </a:r>
          <a:r>
            <a:rPr lang="en-GB" sz="1200" kern="1200" baseline="0">
              <a:solidFill>
                <a:schemeClr val="tx1"/>
              </a:solidFill>
              <a:latin typeface="Calibri" panose="020F0502020204030204" pitchFamily="34" charset="0"/>
              <a:ea typeface="+mn-ea"/>
              <a:cs typeface="Calibri" panose="020F0502020204030204" pitchFamily="34" charset="0"/>
            </a:rPr>
            <a:t> with your stakeholders.</a:t>
          </a:r>
          <a:endParaRPr lang="en-GB" sz="1200" kern="1200">
            <a:solidFill>
              <a:schemeClr val="tx1"/>
            </a:solidFill>
            <a:latin typeface="Calibri" panose="020F0502020204030204" pitchFamily="34" charset="0"/>
            <a:ea typeface="+mn-ea"/>
            <a:cs typeface="Calibri" panose="020F0502020204030204" pitchFamily="34" charset="0"/>
          </a:endParaRPr>
        </a:p>
        <a:p>
          <a:endParaRPr lang="en-GB" sz="1400" kern="0">
            <a:latin typeface="Calibri" panose="020F0502020204030204" pitchFamily="34" charset="0"/>
            <a:cs typeface="Calibri" panose="020F050202020403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361951</xdr:colOff>
      <xdr:row>0</xdr:row>
      <xdr:rowOff>304800</xdr:rowOff>
    </xdr:from>
    <xdr:to>
      <xdr:col>31</xdr:col>
      <xdr:colOff>520853</xdr:colOff>
      <xdr:row>27</xdr:row>
      <xdr:rowOff>1832</xdr:rowOff>
    </xdr:to>
    <xdr:pic>
      <xdr:nvPicPr>
        <xdr:cNvPr id="2" name="Picture 1">
          <a:extLst>
            <a:ext uri="{FF2B5EF4-FFF2-40B4-BE49-F238E27FC236}">
              <a16:creationId xmlns:a16="http://schemas.microsoft.com/office/drawing/2014/main" id="{00000000-0008-0000-1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104351" y="304800"/>
          <a:ext cx="6304431" cy="586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14</xdr:col>
      <xdr:colOff>1004311</xdr:colOff>
      <xdr:row>27</xdr:row>
      <xdr:rowOff>96982</xdr:rowOff>
    </xdr:from>
    <xdr:to>
      <xdr:col>21</xdr:col>
      <xdr:colOff>83128</xdr:colOff>
      <xdr:row>51</xdr:row>
      <xdr:rowOff>57729</xdr:rowOff>
    </xdr:to>
    <xdr:grpSp>
      <xdr:nvGrpSpPr>
        <xdr:cNvPr id="6" name="Group 5">
          <a:extLst>
            <a:ext uri="{FF2B5EF4-FFF2-40B4-BE49-F238E27FC236}">
              <a16:creationId xmlns:a16="http://schemas.microsoft.com/office/drawing/2014/main" id="{00000000-0008-0000-1300-000006000000}"/>
            </a:ext>
          </a:extLst>
        </xdr:cNvPr>
        <xdr:cNvGrpSpPr/>
      </xdr:nvGrpSpPr>
      <xdr:grpSpPr>
        <a:xfrm>
          <a:off x="11148436" y="6278707"/>
          <a:ext cx="5755842" cy="4885172"/>
          <a:chOff x="12559002" y="12275132"/>
          <a:chExt cx="7271471" cy="6541651"/>
        </a:xfrm>
      </xdr:grpSpPr>
      <xdr:sp macro="" textlink="">
        <xdr:nvSpPr>
          <xdr:cNvPr id="7" name="AutoShape 4">
            <a:extLst>
              <a:ext uri="{FF2B5EF4-FFF2-40B4-BE49-F238E27FC236}">
                <a16:creationId xmlns:a16="http://schemas.microsoft.com/office/drawing/2014/main" id="{00000000-0008-0000-1300-000007000000}"/>
              </a:ext>
            </a:extLst>
          </xdr:cNvPr>
          <xdr:cNvSpPr>
            <a:spLocks noChangeArrowheads="1"/>
          </xdr:cNvSpPr>
        </xdr:nvSpPr>
        <xdr:spPr bwMode="auto">
          <a:xfrm>
            <a:off x="14599516" y="14288800"/>
            <a:ext cx="5230957" cy="4527983"/>
          </a:xfrm>
          <a:prstGeom prst="roundRect">
            <a:avLst>
              <a:gd name="adj" fmla="val 12495"/>
            </a:avLst>
          </a:prstGeom>
          <a:solidFill>
            <a:schemeClr val="bg1">
              <a:lumMod val="95000"/>
            </a:schemeClr>
          </a:solidFill>
          <a:ln w="12700">
            <a:solidFill>
              <a:schemeClr val="tx1"/>
            </a:solidFill>
            <a:round/>
            <a:headEnd/>
            <a:tailEnd/>
          </a:ln>
          <a:effectLst>
            <a:outerShdw dist="53882" dir="2700000" algn="ctr" rotWithShape="0">
              <a:schemeClr val="bg2"/>
            </a:outerShdw>
          </a:effec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8" name="Rectangle 7">
            <a:extLst>
              <a:ext uri="{FF2B5EF4-FFF2-40B4-BE49-F238E27FC236}">
                <a16:creationId xmlns:a16="http://schemas.microsoft.com/office/drawing/2014/main" id="{00000000-0008-0000-1300-000008000000}"/>
              </a:ext>
            </a:extLst>
          </xdr:cNvPr>
          <xdr:cNvSpPr>
            <a:spLocks noChangeArrowheads="1"/>
          </xdr:cNvSpPr>
        </xdr:nvSpPr>
        <xdr:spPr bwMode="auto">
          <a:xfrm>
            <a:off x="17512146" y="18058101"/>
            <a:ext cx="2261177" cy="720381"/>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lIns="87312" tIns="44450" rIns="87312" bIns="44450">
            <a:spAutoFit/>
          </a:bodyP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pPr algn="ctr"/>
            <a:r>
              <a:rPr lang="en-US" altLang="en-US" sz="900" b="1" u="sng">
                <a:solidFill>
                  <a:srgbClr val="FF0000"/>
                </a:solidFill>
              </a:rPr>
              <a:t>CAUTION:</a:t>
            </a:r>
            <a:endParaRPr lang="en-US" altLang="en-US" sz="900">
              <a:solidFill>
                <a:srgbClr val="FF0000"/>
              </a:solidFill>
            </a:endParaRPr>
          </a:p>
          <a:p>
            <a:pPr algn="ctr"/>
            <a:r>
              <a:rPr lang="en-US" altLang="en-US" sz="900">
                <a:solidFill>
                  <a:srgbClr val="FF0000"/>
                </a:solidFill>
              </a:rPr>
              <a:t>The magnitude of these %’s are exaggerations</a:t>
            </a:r>
          </a:p>
        </xdr:txBody>
      </xdr:sp>
      <xdr:grpSp>
        <xdr:nvGrpSpPr>
          <xdr:cNvPr id="9" name="Group 8">
            <a:extLst>
              <a:ext uri="{FF2B5EF4-FFF2-40B4-BE49-F238E27FC236}">
                <a16:creationId xmlns:a16="http://schemas.microsoft.com/office/drawing/2014/main" id="{00000000-0008-0000-1300-000009000000}"/>
              </a:ext>
            </a:extLst>
          </xdr:cNvPr>
          <xdr:cNvGrpSpPr>
            <a:grpSpLocks/>
          </xdr:cNvGrpSpPr>
        </xdr:nvGrpSpPr>
        <xdr:grpSpPr bwMode="auto">
          <a:xfrm>
            <a:off x="12559002" y="15043153"/>
            <a:ext cx="1731240" cy="3407930"/>
            <a:chOff x="649" y="2086"/>
            <a:chExt cx="916" cy="1658"/>
          </a:xfrm>
        </xdr:grpSpPr>
        <xdr:grpSp>
          <xdr:nvGrpSpPr>
            <xdr:cNvPr id="26" name="Group 25">
              <a:extLst>
                <a:ext uri="{FF2B5EF4-FFF2-40B4-BE49-F238E27FC236}">
                  <a16:creationId xmlns:a16="http://schemas.microsoft.com/office/drawing/2014/main" id="{00000000-0008-0000-1300-00001A000000}"/>
                </a:ext>
              </a:extLst>
            </xdr:cNvPr>
            <xdr:cNvGrpSpPr>
              <a:grpSpLocks/>
            </xdr:cNvGrpSpPr>
          </xdr:nvGrpSpPr>
          <xdr:grpSpPr bwMode="auto">
            <a:xfrm>
              <a:off x="649" y="2393"/>
              <a:ext cx="916" cy="1304"/>
              <a:chOff x="649" y="2393"/>
              <a:chExt cx="916" cy="1304"/>
            </a:xfrm>
          </xdr:grpSpPr>
          <xdr:grpSp>
            <xdr:nvGrpSpPr>
              <xdr:cNvPr id="56" name="Group 55">
                <a:extLst>
                  <a:ext uri="{FF2B5EF4-FFF2-40B4-BE49-F238E27FC236}">
                    <a16:creationId xmlns:a16="http://schemas.microsoft.com/office/drawing/2014/main" id="{00000000-0008-0000-1300-000038000000}"/>
                  </a:ext>
                </a:extLst>
              </xdr:cNvPr>
              <xdr:cNvGrpSpPr>
                <a:grpSpLocks/>
              </xdr:cNvGrpSpPr>
            </xdr:nvGrpSpPr>
            <xdr:grpSpPr bwMode="auto">
              <a:xfrm>
                <a:off x="649" y="2393"/>
                <a:ext cx="916" cy="393"/>
                <a:chOff x="649" y="2393"/>
                <a:chExt cx="916" cy="393"/>
              </a:xfrm>
            </xdr:grpSpPr>
            <xdr:grpSp>
              <xdr:nvGrpSpPr>
                <xdr:cNvPr id="71" name="Group 70">
                  <a:extLst>
                    <a:ext uri="{FF2B5EF4-FFF2-40B4-BE49-F238E27FC236}">
                      <a16:creationId xmlns:a16="http://schemas.microsoft.com/office/drawing/2014/main" id="{00000000-0008-0000-1300-000047000000}"/>
                    </a:ext>
                  </a:extLst>
                </xdr:cNvPr>
                <xdr:cNvGrpSpPr>
                  <a:grpSpLocks/>
                </xdr:cNvGrpSpPr>
              </xdr:nvGrpSpPr>
              <xdr:grpSpPr bwMode="auto">
                <a:xfrm>
                  <a:off x="649" y="2393"/>
                  <a:ext cx="170" cy="390"/>
                  <a:chOff x="649" y="2393"/>
                  <a:chExt cx="170" cy="390"/>
                </a:xfrm>
              </xdr:grpSpPr>
              <xdr:sp macro="" textlink="">
                <xdr:nvSpPr>
                  <xdr:cNvPr id="75" name="Arc 6">
                    <a:extLst>
                      <a:ext uri="{FF2B5EF4-FFF2-40B4-BE49-F238E27FC236}">
                        <a16:creationId xmlns:a16="http://schemas.microsoft.com/office/drawing/2014/main" id="{00000000-0008-0000-1300-00004B000000}"/>
                      </a:ext>
                    </a:extLst>
                  </xdr:cNvPr>
                  <xdr:cNvSpPr>
                    <a:spLocks/>
                  </xdr:cNvSpPr>
                </xdr:nvSpPr>
                <xdr:spPr bwMode="auto">
                  <a:xfrm>
                    <a:off x="686" y="2408"/>
                    <a:ext cx="121" cy="346"/>
                  </a:xfrm>
                  <a:custGeom>
                    <a:avLst/>
                    <a:gdLst>
                      <a:gd name="G0" fmla="+- 21600 0 0"/>
                      <a:gd name="G1" fmla="+- 21599 0 0"/>
                      <a:gd name="G2" fmla="+- 21600 0 0"/>
                      <a:gd name="T0" fmla="*/ 21600 w 21600"/>
                      <a:gd name="T1" fmla="*/ 43199 h 43199"/>
                      <a:gd name="T2" fmla="*/ 21421 w 21600"/>
                      <a:gd name="T3" fmla="*/ 0 h 43199"/>
                      <a:gd name="T4" fmla="*/ 21600 w 21600"/>
                      <a:gd name="T5" fmla="*/ 21599 h 43199"/>
                    </a:gdLst>
                    <a:ahLst/>
                    <a:cxnLst>
                      <a:cxn ang="0">
                        <a:pos x="T0" y="T1"/>
                      </a:cxn>
                      <a:cxn ang="0">
                        <a:pos x="T2" y="T3"/>
                      </a:cxn>
                      <a:cxn ang="0">
                        <a:pos x="T4" y="T5"/>
                      </a:cxn>
                    </a:cxnLst>
                    <a:rect l="0" t="0" r="r" b="b"/>
                    <a:pathLst>
                      <a:path w="21600" h="43199" fill="none" extrusionOk="0">
                        <a:moveTo>
                          <a:pt x="21600" y="43198"/>
                        </a:moveTo>
                        <a:cubicBezTo>
                          <a:pt x="9670" y="43199"/>
                          <a:pt x="0" y="33528"/>
                          <a:pt x="0" y="21599"/>
                        </a:cubicBezTo>
                        <a:cubicBezTo>
                          <a:pt x="0" y="9739"/>
                          <a:pt x="9561" y="98"/>
                          <a:pt x="21420" y="-1"/>
                        </a:cubicBezTo>
                      </a:path>
                      <a:path w="21600" h="43199" stroke="0" extrusionOk="0">
                        <a:moveTo>
                          <a:pt x="21600" y="43198"/>
                        </a:moveTo>
                        <a:cubicBezTo>
                          <a:pt x="9670" y="43199"/>
                          <a:pt x="0" y="33528"/>
                          <a:pt x="0" y="21599"/>
                        </a:cubicBezTo>
                        <a:cubicBezTo>
                          <a:pt x="0" y="9739"/>
                          <a:pt x="9561" y="98"/>
                          <a:pt x="21420" y="-1"/>
                        </a:cubicBezTo>
                        <a:lnTo>
                          <a:pt x="21600" y="21599"/>
                        </a:lnTo>
                        <a:close/>
                      </a:path>
                    </a:pathLst>
                  </a:custGeom>
                  <a:solidFill>
                    <a:srgbClr val="FF4040"/>
                  </a:solidFill>
                  <a:ln w="12700" cap="rnd">
                    <a:solidFill>
                      <a:srgbClr val="000000"/>
                    </a:solidFill>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76" name="Freeform 7">
                    <a:extLst>
                      <a:ext uri="{FF2B5EF4-FFF2-40B4-BE49-F238E27FC236}">
                        <a16:creationId xmlns:a16="http://schemas.microsoft.com/office/drawing/2014/main" id="{00000000-0008-0000-1300-00004C000000}"/>
                      </a:ext>
                    </a:extLst>
                  </xdr:cNvPr>
                  <xdr:cNvSpPr>
                    <a:spLocks/>
                  </xdr:cNvSpPr>
                </xdr:nvSpPr>
                <xdr:spPr bwMode="auto">
                  <a:xfrm>
                    <a:off x="649" y="2393"/>
                    <a:ext cx="170" cy="390"/>
                  </a:xfrm>
                  <a:custGeom>
                    <a:avLst/>
                    <a:gdLst>
                      <a:gd name="T0" fmla="*/ 168 w 170"/>
                      <a:gd name="T1" fmla="*/ 0 h 390"/>
                      <a:gd name="T2" fmla="*/ 0 w 170"/>
                      <a:gd name="T3" fmla="*/ 0 h 390"/>
                      <a:gd name="T4" fmla="*/ 19 w 170"/>
                      <a:gd name="T5" fmla="*/ 5 h 390"/>
                      <a:gd name="T6" fmla="*/ 29 w 170"/>
                      <a:gd name="T7" fmla="*/ 10 h 390"/>
                      <a:gd name="T8" fmla="*/ 37 w 170"/>
                      <a:gd name="T9" fmla="*/ 14 h 390"/>
                      <a:gd name="T10" fmla="*/ 48 w 170"/>
                      <a:gd name="T11" fmla="*/ 22 h 390"/>
                      <a:gd name="T12" fmla="*/ 56 w 170"/>
                      <a:gd name="T13" fmla="*/ 29 h 390"/>
                      <a:gd name="T14" fmla="*/ 62 w 170"/>
                      <a:gd name="T15" fmla="*/ 37 h 390"/>
                      <a:gd name="T16" fmla="*/ 71 w 170"/>
                      <a:gd name="T17" fmla="*/ 46 h 390"/>
                      <a:gd name="T18" fmla="*/ 74 w 170"/>
                      <a:gd name="T19" fmla="*/ 53 h 390"/>
                      <a:gd name="T20" fmla="*/ 79 w 170"/>
                      <a:gd name="T21" fmla="*/ 62 h 390"/>
                      <a:gd name="T22" fmla="*/ 85 w 170"/>
                      <a:gd name="T23" fmla="*/ 73 h 390"/>
                      <a:gd name="T24" fmla="*/ 90 w 170"/>
                      <a:gd name="T25" fmla="*/ 84 h 390"/>
                      <a:gd name="T26" fmla="*/ 93 w 170"/>
                      <a:gd name="T27" fmla="*/ 95 h 390"/>
                      <a:gd name="T28" fmla="*/ 97 w 170"/>
                      <a:gd name="T29" fmla="*/ 104 h 390"/>
                      <a:gd name="T30" fmla="*/ 125 w 170"/>
                      <a:gd name="T31" fmla="*/ 233 h 390"/>
                      <a:gd name="T32" fmla="*/ 135 w 170"/>
                      <a:gd name="T33" fmla="*/ 286 h 390"/>
                      <a:gd name="T34" fmla="*/ 141 w 170"/>
                      <a:gd name="T35" fmla="*/ 321 h 390"/>
                      <a:gd name="T36" fmla="*/ 150 w 170"/>
                      <a:gd name="T37" fmla="*/ 355 h 390"/>
                      <a:gd name="T38" fmla="*/ 163 w 170"/>
                      <a:gd name="T39" fmla="*/ 389 h 390"/>
                      <a:gd name="T40" fmla="*/ 169 w 170"/>
                      <a:gd name="T41" fmla="*/ 389 h 390"/>
                      <a:gd name="T42" fmla="*/ 168 w 170"/>
                      <a:gd name="T43" fmla="*/ 0 h 39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0" h="390">
                        <a:moveTo>
                          <a:pt x="168" y="0"/>
                        </a:moveTo>
                        <a:lnTo>
                          <a:pt x="0" y="0"/>
                        </a:lnTo>
                        <a:lnTo>
                          <a:pt x="19" y="5"/>
                        </a:lnTo>
                        <a:lnTo>
                          <a:pt x="29" y="10"/>
                        </a:lnTo>
                        <a:lnTo>
                          <a:pt x="37" y="14"/>
                        </a:lnTo>
                        <a:lnTo>
                          <a:pt x="48" y="22"/>
                        </a:lnTo>
                        <a:lnTo>
                          <a:pt x="56" y="29"/>
                        </a:lnTo>
                        <a:lnTo>
                          <a:pt x="62" y="37"/>
                        </a:lnTo>
                        <a:lnTo>
                          <a:pt x="71" y="46"/>
                        </a:lnTo>
                        <a:lnTo>
                          <a:pt x="74" y="53"/>
                        </a:lnTo>
                        <a:lnTo>
                          <a:pt x="79" y="62"/>
                        </a:lnTo>
                        <a:lnTo>
                          <a:pt x="85" y="73"/>
                        </a:lnTo>
                        <a:lnTo>
                          <a:pt x="90" y="84"/>
                        </a:lnTo>
                        <a:lnTo>
                          <a:pt x="93" y="95"/>
                        </a:lnTo>
                        <a:lnTo>
                          <a:pt x="97" y="104"/>
                        </a:lnTo>
                        <a:lnTo>
                          <a:pt x="125" y="233"/>
                        </a:lnTo>
                        <a:lnTo>
                          <a:pt x="135" y="286"/>
                        </a:lnTo>
                        <a:lnTo>
                          <a:pt x="141" y="321"/>
                        </a:lnTo>
                        <a:lnTo>
                          <a:pt x="150" y="355"/>
                        </a:lnTo>
                        <a:lnTo>
                          <a:pt x="163" y="389"/>
                        </a:lnTo>
                        <a:lnTo>
                          <a:pt x="169" y="389"/>
                        </a:lnTo>
                        <a:lnTo>
                          <a:pt x="168" y="0"/>
                        </a:lnTo>
                      </a:path>
                    </a:pathLst>
                  </a:custGeom>
                  <a:solidFill>
                    <a:srgbClr val="FF8000"/>
                  </a:solidFill>
                  <a:ln w="12700" cap="rnd" cmpd="sng">
                    <a:solidFill>
                      <a:srgbClr val="000000"/>
                    </a:solidFill>
                    <a:prstDash val="solid"/>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grpSp>
              <xdr:nvGrpSpPr>
                <xdr:cNvPr id="72" name="Group 71">
                  <a:extLst>
                    <a:ext uri="{FF2B5EF4-FFF2-40B4-BE49-F238E27FC236}">
                      <a16:creationId xmlns:a16="http://schemas.microsoft.com/office/drawing/2014/main" id="{00000000-0008-0000-1300-000048000000}"/>
                    </a:ext>
                  </a:extLst>
                </xdr:cNvPr>
                <xdr:cNvGrpSpPr>
                  <a:grpSpLocks/>
                </xdr:cNvGrpSpPr>
              </xdr:nvGrpSpPr>
              <xdr:grpSpPr bwMode="auto">
                <a:xfrm>
                  <a:off x="1394" y="2396"/>
                  <a:ext cx="171" cy="390"/>
                  <a:chOff x="1394" y="2396"/>
                  <a:chExt cx="171" cy="390"/>
                </a:xfrm>
              </xdr:grpSpPr>
              <xdr:sp macro="" textlink="">
                <xdr:nvSpPr>
                  <xdr:cNvPr id="73" name="Arc 9">
                    <a:extLst>
                      <a:ext uri="{FF2B5EF4-FFF2-40B4-BE49-F238E27FC236}">
                        <a16:creationId xmlns:a16="http://schemas.microsoft.com/office/drawing/2014/main" id="{00000000-0008-0000-1300-000049000000}"/>
                      </a:ext>
                    </a:extLst>
                  </xdr:cNvPr>
                  <xdr:cNvSpPr>
                    <a:spLocks/>
                  </xdr:cNvSpPr>
                </xdr:nvSpPr>
                <xdr:spPr bwMode="auto">
                  <a:xfrm>
                    <a:off x="1395" y="2410"/>
                    <a:ext cx="121" cy="347"/>
                  </a:xfrm>
                  <a:custGeom>
                    <a:avLst/>
                    <a:gdLst>
                      <a:gd name="G0" fmla="+- 0 0 0"/>
                      <a:gd name="G1" fmla="+- 21600 0 0"/>
                      <a:gd name="G2" fmla="+- 21600 0 0"/>
                      <a:gd name="T0" fmla="*/ 0 w 21600"/>
                      <a:gd name="T1" fmla="*/ 0 h 43200"/>
                      <a:gd name="T2" fmla="*/ 0 w 21600"/>
                      <a:gd name="T3" fmla="*/ 43200 h 43200"/>
                      <a:gd name="T4" fmla="*/ 0 w 21600"/>
                      <a:gd name="T5" fmla="*/ 21600 h 43200"/>
                    </a:gdLst>
                    <a:ahLst/>
                    <a:cxnLst>
                      <a:cxn ang="0">
                        <a:pos x="T0" y="T1"/>
                      </a:cxn>
                      <a:cxn ang="0">
                        <a:pos x="T2" y="T3"/>
                      </a:cxn>
                      <a:cxn ang="0">
                        <a:pos x="T4" y="T5"/>
                      </a:cxn>
                    </a:cxnLst>
                    <a:rect l="0" t="0" r="r" b="b"/>
                    <a:pathLst>
                      <a:path w="21600" h="43200" fill="none" extrusionOk="0">
                        <a:moveTo>
                          <a:pt x="0" y="0"/>
                        </a:moveTo>
                        <a:cubicBezTo>
                          <a:pt x="11929" y="0"/>
                          <a:pt x="21600" y="9670"/>
                          <a:pt x="21600" y="21600"/>
                        </a:cubicBezTo>
                        <a:cubicBezTo>
                          <a:pt x="21600" y="33529"/>
                          <a:pt x="11929" y="43199"/>
                          <a:pt x="0" y="43199"/>
                        </a:cubicBezTo>
                      </a:path>
                      <a:path w="21600" h="43200" stroke="0" extrusionOk="0">
                        <a:moveTo>
                          <a:pt x="0" y="0"/>
                        </a:moveTo>
                        <a:cubicBezTo>
                          <a:pt x="11929" y="0"/>
                          <a:pt x="21600" y="9670"/>
                          <a:pt x="21600" y="21600"/>
                        </a:cubicBezTo>
                        <a:cubicBezTo>
                          <a:pt x="21600" y="33529"/>
                          <a:pt x="11929" y="43199"/>
                          <a:pt x="0" y="43199"/>
                        </a:cubicBezTo>
                        <a:lnTo>
                          <a:pt x="0" y="21600"/>
                        </a:lnTo>
                        <a:close/>
                      </a:path>
                    </a:pathLst>
                  </a:custGeom>
                  <a:solidFill>
                    <a:srgbClr val="FF4040"/>
                  </a:solidFill>
                  <a:ln w="12700" cap="rnd">
                    <a:solidFill>
                      <a:srgbClr val="000000"/>
                    </a:solidFill>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74" name="Freeform 10">
                    <a:extLst>
                      <a:ext uri="{FF2B5EF4-FFF2-40B4-BE49-F238E27FC236}">
                        <a16:creationId xmlns:a16="http://schemas.microsoft.com/office/drawing/2014/main" id="{00000000-0008-0000-1300-00004A000000}"/>
                      </a:ext>
                    </a:extLst>
                  </xdr:cNvPr>
                  <xdr:cNvSpPr>
                    <a:spLocks/>
                  </xdr:cNvSpPr>
                </xdr:nvSpPr>
                <xdr:spPr bwMode="auto">
                  <a:xfrm>
                    <a:off x="1394" y="2396"/>
                    <a:ext cx="171" cy="390"/>
                  </a:xfrm>
                  <a:custGeom>
                    <a:avLst/>
                    <a:gdLst>
                      <a:gd name="T0" fmla="*/ 2 w 171"/>
                      <a:gd name="T1" fmla="*/ 0 h 390"/>
                      <a:gd name="T2" fmla="*/ 170 w 171"/>
                      <a:gd name="T3" fmla="*/ 0 h 390"/>
                      <a:gd name="T4" fmla="*/ 151 w 171"/>
                      <a:gd name="T5" fmla="*/ 5 h 390"/>
                      <a:gd name="T6" fmla="*/ 140 w 171"/>
                      <a:gd name="T7" fmla="*/ 10 h 390"/>
                      <a:gd name="T8" fmla="*/ 132 w 171"/>
                      <a:gd name="T9" fmla="*/ 14 h 390"/>
                      <a:gd name="T10" fmla="*/ 122 w 171"/>
                      <a:gd name="T11" fmla="*/ 22 h 390"/>
                      <a:gd name="T12" fmla="*/ 114 w 171"/>
                      <a:gd name="T13" fmla="*/ 29 h 390"/>
                      <a:gd name="T14" fmla="*/ 107 w 171"/>
                      <a:gd name="T15" fmla="*/ 37 h 390"/>
                      <a:gd name="T16" fmla="*/ 99 w 171"/>
                      <a:gd name="T17" fmla="*/ 46 h 390"/>
                      <a:gd name="T18" fmla="*/ 95 w 171"/>
                      <a:gd name="T19" fmla="*/ 53 h 390"/>
                      <a:gd name="T20" fmla="*/ 90 w 171"/>
                      <a:gd name="T21" fmla="*/ 62 h 390"/>
                      <a:gd name="T22" fmla="*/ 85 w 171"/>
                      <a:gd name="T23" fmla="*/ 73 h 390"/>
                      <a:gd name="T24" fmla="*/ 80 w 171"/>
                      <a:gd name="T25" fmla="*/ 84 h 390"/>
                      <a:gd name="T26" fmla="*/ 77 w 171"/>
                      <a:gd name="T27" fmla="*/ 95 h 390"/>
                      <a:gd name="T28" fmla="*/ 73 w 171"/>
                      <a:gd name="T29" fmla="*/ 104 h 390"/>
                      <a:gd name="T30" fmla="*/ 44 w 171"/>
                      <a:gd name="T31" fmla="*/ 233 h 390"/>
                      <a:gd name="T32" fmla="*/ 35 w 171"/>
                      <a:gd name="T33" fmla="*/ 286 h 390"/>
                      <a:gd name="T34" fmla="*/ 28 w 171"/>
                      <a:gd name="T35" fmla="*/ 321 h 390"/>
                      <a:gd name="T36" fmla="*/ 19 w 171"/>
                      <a:gd name="T37" fmla="*/ 355 h 390"/>
                      <a:gd name="T38" fmla="*/ 7 w 171"/>
                      <a:gd name="T39" fmla="*/ 389 h 390"/>
                      <a:gd name="T40" fmla="*/ 0 w 171"/>
                      <a:gd name="T41" fmla="*/ 389 h 390"/>
                      <a:gd name="T42" fmla="*/ 2 w 171"/>
                      <a:gd name="T43" fmla="*/ 0 h 39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1" h="390">
                        <a:moveTo>
                          <a:pt x="2" y="0"/>
                        </a:moveTo>
                        <a:lnTo>
                          <a:pt x="170" y="0"/>
                        </a:lnTo>
                        <a:lnTo>
                          <a:pt x="151" y="5"/>
                        </a:lnTo>
                        <a:lnTo>
                          <a:pt x="140" y="10"/>
                        </a:lnTo>
                        <a:lnTo>
                          <a:pt x="132" y="14"/>
                        </a:lnTo>
                        <a:lnTo>
                          <a:pt x="122" y="22"/>
                        </a:lnTo>
                        <a:lnTo>
                          <a:pt x="114" y="29"/>
                        </a:lnTo>
                        <a:lnTo>
                          <a:pt x="107" y="37"/>
                        </a:lnTo>
                        <a:lnTo>
                          <a:pt x="99" y="46"/>
                        </a:lnTo>
                        <a:lnTo>
                          <a:pt x="95" y="53"/>
                        </a:lnTo>
                        <a:lnTo>
                          <a:pt x="90" y="62"/>
                        </a:lnTo>
                        <a:lnTo>
                          <a:pt x="85" y="73"/>
                        </a:lnTo>
                        <a:lnTo>
                          <a:pt x="80" y="84"/>
                        </a:lnTo>
                        <a:lnTo>
                          <a:pt x="77" y="95"/>
                        </a:lnTo>
                        <a:lnTo>
                          <a:pt x="73" y="104"/>
                        </a:lnTo>
                        <a:lnTo>
                          <a:pt x="44" y="233"/>
                        </a:lnTo>
                        <a:lnTo>
                          <a:pt x="35" y="286"/>
                        </a:lnTo>
                        <a:lnTo>
                          <a:pt x="28" y="321"/>
                        </a:lnTo>
                        <a:lnTo>
                          <a:pt x="19" y="355"/>
                        </a:lnTo>
                        <a:lnTo>
                          <a:pt x="7" y="389"/>
                        </a:lnTo>
                        <a:lnTo>
                          <a:pt x="0" y="389"/>
                        </a:lnTo>
                        <a:lnTo>
                          <a:pt x="2" y="0"/>
                        </a:lnTo>
                      </a:path>
                    </a:pathLst>
                  </a:custGeom>
                  <a:solidFill>
                    <a:srgbClr val="FF8000"/>
                  </a:solidFill>
                  <a:ln w="12700" cap="rnd" cmpd="sng">
                    <a:solidFill>
                      <a:srgbClr val="000000"/>
                    </a:solidFill>
                    <a:prstDash val="solid"/>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grpSp>
          <xdr:grpSp>
            <xdr:nvGrpSpPr>
              <xdr:cNvPr id="57" name="Group 56">
                <a:extLst>
                  <a:ext uri="{FF2B5EF4-FFF2-40B4-BE49-F238E27FC236}">
                    <a16:creationId xmlns:a16="http://schemas.microsoft.com/office/drawing/2014/main" id="{00000000-0008-0000-1300-000039000000}"/>
                  </a:ext>
                </a:extLst>
              </xdr:cNvPr>
              <xdr:cNvGrpSpPr>
                <a:grpSpLocks/>
              </xdr:cNvGrpSpPr>
            </xdr:nvGrpSpPr>
            <xdr:grpSpPr bwMode="auto">
              <a:xfrm>
                <a:off x="649" y="3304"/>
                <a:ext cx="916" cy="393"/>
                <a:chOff x="649" y="3304"/>
                <a:chExt cx="916" cy="393"/>
              </a:xfrm>
            </xdr:grpSpPr>
            <xdr:grpSp>
              <xdr:nvGrpSpPr>
                <xdr:cNvPr id="65" name="Group 64">
                  <a:extLst>
                    <a:ext uri="{FF2B5EF4-FFF2-40B4-BE49-F238E27FC236}">
                      <a16:creationId xmlns:a16="http://schemas.microsoft.com/office/drawing/2014/main" id="{00000000-0008-0000-1300-000041000000}"/>
                    </a:ext>
                  </a:extLst>
                </xdr:cNvPr>
                <xdr:cNvGrpSpPr>
                  <a:grpSpLocks/>
                </xdr:cNvGrpSpPr>
              </xdr:nvGrpSpPr>
              <xdr:grpSpPr bwMode="auto">
                <a:xfrm>
                  <a:off x="649" y="3304"/>
                  <a:ext cx="170" cy="390"/>
                  <a:chOff x="649" y="3304"/>
                  <a:chExt cx="170" cy="390"/>
                </a:xfrm>
              </xdr:grpSpPr>
              <xdr:sp macro="" textlink="">
                <xdr:nvSpPr>
                  <xdr:cNvPr id="69" name="Arc 13">
                    <a:extLst>
                      <a:ext uri="{FF2B5EF4-FFF2-40B4-BE49-F238E27FC236}">
                        <a16:creationId xmlns:a16="http://schemas.microsoft.com/office/drawing/2014/main" id="{00000000-0008-0000-1300-000045000000}"/>
                      </a:ext>
                    </a:extLst>
                  </xdr:cNvPr>
                  <xdr:cNvSpPr>
                    <a:spLocks/>
                  </xdr:cNvSpPr>
                </xdr:nvSpPr>
                <xdr:spPr bwMode="auto">
                  <a:xfrm>
                    <a:off x="686" y="3320"/>
                    <a:ext cx="121" cy="345"/>
                  </a:xfrm>
                  <a:custGeom>
                    <a:avLst/>
                    <a:gdLst>
                      <a:gd name="G0" fmla="+- 21600 0 0"/>
                      <a:gd name="G1" fmla="+- 21599 0 0"/>
                      <a:gd name="G2" fmla="+- 21600 0 0"/>
                      <a:gd name="T0" fmla="*/ 21600 w 21600"/>
                      <a:gd name="T1" fmla="*/ 43199 h 43199"/>
                      <a:gd name="T2" fmla="*/ 21422 w 21600"/>
                      <a:gd name="T3" fmla="*/ 0 h 43199"/>
                      <a:gd name="T4" fmla="*/ 21600 w 21600"/>
                      <a:gd name="T5" fmla="*/ 21599 h 43199"/>
                    </a:gdLst>
                    <a:ahLst/>
                    <a:cxnLst>
                      <a:cxn ang="0">
                        <a:pos x="T0" y="T1"/>
                      </a:cxn>
                      <a:cxn ang="0">
                        <a:pos x="T2" y="T3"/>
                      </a:cxn>
                      <a:cxn ang="0">
                        <a:pos x="T4" y="T5"/>
                      </a:cxn>
                    </a:cxnLst>
                    <a:rect l="0" t="0" r="r" b="b"/>
                    <a:pathLst>
                      <a:path w="21600" h="43199" fill="none" extrusionOk="0">
                        <a:moveTo>
                          <a:pt x="21600" y="43198"/>
                        </a:moveTo>
                        <a:cubicBezTo>
                          <a:pt x="9670" y="43199"/>
                          <a:pt x="0" y="33528"/>
                          <a:pt x="0" y="21599"/>
                        </a:cubicBezTo>
                        <a:cubicBezTo>
                          <a:pt x="0" y="9739"/>
                          <a:pt x="9562" y="97"/>
                          <a:pt x="21421" y="-1"/>
                        </a:cubicBezTo>
                      </a:path>
                      <a:path w="21600" h="43199" stroke="0" extrusionOk="0">
                        <a:moveTo>
                          <a:pt x="21600" y="43198"/>
                        </a:moveTo>
                        <a:cubicBezTo>
                          <a:pt x="9670" y="43199"/>
                          <a:pt x="0" y="33528"/>
                          <a:pt x="0" y="21599"/>
                        </a:cubicBezTo>
                        <a:cubicBezTo>
                          <a:pt x="0" y="9739"/>
                          <a:pt x="9562" y="97"/>
                          <a:pt x="21421" y="-1"/>
                        </a:cubicBezTo>
                        <a:lnTo>
                          <a:pt x="21600" y="21599"/>
                        </a:lnTo>
                        <a:close/>
                      </a:path>
                    </a:pathLst>
                  </a:custGeom>
                  <a:solidFill>
                    <a:srgbClr val="00A000"/>
                  </a:solidFill>
                  <a:ln w="12700" cap="rnd">
                    <a:solidFill>
                      <a:srgbClr val="000000"/>
                    </a:solidFill>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70" name="Freeform 14">
                    <a:extLst>
                      <a:ext uri="{FF2B5EF4-FFF2-40B4-BE49-F238E27FC236}">
                        <a16:creationId xmlns:a16="http://schemas.microsoft.com/office/drawing/2014/main" id="{00000000-0008-0000-1300-000046000000}"/>
                      </a:ext>
                    </a:extLst>
                  </xdr:cNvPr>
                  <xdr:cNvSpPr>
                    <a:spLocks/>
                  </xdr:cNvSpPr>
                </xdr:nvSpPr>
                <xdr:spPr bwMode="auto">
                  <a:xfrm>
                    <a:off x="649" y="3304"/>
                    <a:ext cx="170" cy="390"/>
                  </a:xfrm>
                  <a:custGeom>
                    <a:avLst/>
                    <a:gdLst>
                      <a:gd name="T0" fmla="*/ 168 w 170"/>
                      <a:gd name="T1" fmla="*/ 0 h 390"/>
                      <a:gd name="T2" fmla="*/ 0 w 170"/>
                      <a:gd name="T3" fmla="*/ 0 h 390"/>
                      <a:gd name="T4" fmla="*/ 19 w 170"/>
                      <a:gd name="T5" fmla="*/ 6 h 390"/>
                      <a:gd name="T6" fmla="*/ 29 w 170"/>
                      <a:gd name="T7" fmla="*/ 11 h 390"/>
                      <a:gd name="T8" fmla="*/ 37 w 170"/>
                      <a:gd name="T9" fmla="*/ 16 h 390"/>
                      <a:gd name="T10" fmla="*/ 48 w 170"/>
                      <a:gd name="T11" fmla="*/ 23 h 390"/>
                      <a:gd name="T12" fmla="*/ 56 w 170"/>
                      <a:gd name="T13" fmla="*/ 30 h 390"/>
                      <a:gd name="T14" fmla="*/ 62 w 170"/>
                      <a:gd name="T15" fmla="*/ 37 h 390"/>
                      <a:gd name="T16" fmla="*/ 71 w 170"/>
                      <a:gd name="T17" fmla="*/ 46 h 390"/>
                      <a:gd name="T18" fmla="*/ 74 w 170"/>
                      <a:gd name="T19" fmla="*/ 53 h 390"/>
                      <a:gd name="T20" fmla="*/ 79 w 170"/>
                      <a:gd name="T21" fmla="*/ 62 h 390"/>
                      <a:gd name="T22" fmla="*/ 85 w 170"/>
                      <a:gd name="T23" fmla="*/ 73 h 390"/>
                      <a:gd name="T24" fmla="*/ 90 w 170"/>
                      <a:gd name="T25" fmla="*/ 84 h 390"/>
                      <a:gd name="T26" fmla="*/ 93 w 170"/>
                      <a:gd name="T27" fmla="*/ 95 h 390"/>
                      <a:gd name="T28" fmla="*/ 97 w 170"/>
                      <a:gd name="T29" fmla="*/ 104 h 390"/>
                      <a:gd name="T30" fmla="*/ 125 w 170"/>
                      <a:gd name="T31" fmla="*/ 233 h 390"/>
                      <a:gd name="T32" fmla="*/ 135 w 170"/>
                      <a:gd name="T33" fmla="*/ 286 h 390"/>
                      <a:gd name="T34" fmla="*/ 141 w 170"/>
                      <a:gd name="T35" fmla="*/ 321 h 390"/>
                      <a:gd name="T36" fmla="*/ 150 w 170"/>
                      <a:gd name="T37" fmla="*/ 355 h 390"/>
                      <a:gd name="T38" fmla="*/ 163 w 170"/>
                      <a:gd name="T39" fmla="*/ 389 h 390"/>
                      <a:gd name="T40" fmla="*/ 169 w 170"/>
                      <a:gd name="T41" fmla="*/ 389 h 390"/>
                      <a:gd name="T42" fmla="*/ 168 w 170"/>
                      <a:gd name="T43" fmla="*/ 0 h 39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0" h="390">
                        <a:moveTo>
                          <a:pt x="168" y="0"/>
                        </a:moveTo>
                        <a:lnTo>
                          <a:pt x="0" y="0"/>
                        </a:lnTo>
                        <a:lnTo>
                          <a:pt x="19" y="6"/>
                        </a:lnTo>
                        <a:lnTo>
                          <a:pt x="29" y="11"/>
                        </a:lnTo>
                        <a:lnTo>
                          <a:pt x="37" y="16"/>
                        </a:lnTo>
                        <a:lnTo>
                          <a:pt x="48" y="23"/>
                        </a:lnTo>
                        <a:lnTo>
                          <a:pt x="56" y="30"/>
                        </a:lnTo>
                        <a:lnTo>
                          <a:pt x="62" y="37"/>
                        </a:lnTo>
                        <a:lnTo>
                          <a:pt x="71" y="46"/>
                        </a:lnTo>
                        <a:lnTo>
                          <a:pt x="74" y="53"/>
                        </a:lnTo>
                        <a:lnTo>
                          <a:pt x="79" y="62"/>
                        </a:lnTo>
                        <a:lnTo>
                          <a:pt x="85" y="73"/>
                        </a:lnTo>
                        <a:lnTo>
                          <a:pt x="90" y="84"/>
                        </a:lnTo>
                        <a:lnTo>
                          <a:pt x="93" y="95"/>
                        </a:lnTo>
                        <a:lnTo>
                          <a:pt x="97" y="104"/>
                        </a:lnTo>
                        <a:lnTo>
                          <a:pt x="125" y="233"/>
                        </a:lnTo>
                        <a:lnTo>
                          <a:pt x="135" y="286"/>
                        </a:lnTo>
                        <a:lnTo>
                          <a:pt x="141" y="321"/>
                        </a:lnTo>
                        <a:lnTo>
                          <a:pt x="150" y="355"/>
                        </a:lnTo>
                        <a:lnTo>
                          <a:pt x="163" y="389"/>
                        </a:lnTo>
                        <a:lnTo>
                          <a:pt x="169" y="389"/>
                        </a:lnTo>
                        <a:lnTo>
                          <a:pt x="168" y="0"/>
                        </a:lnTo>
                      </a:path>
                    </a:pathLst>
                  </a:custGeom>
                  <a:solidFill>
                    <a:srgbClr val="FF8000"/>
                  </a:solidFill>
                  <a:ln w="12700" cap="rnd" cmpd="sng">
                    <a:solidFill>
                      <a:srgbClr val="000000"/>
                    </a:solidFill>
                    <a:prstDash val="solid"/>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grpSp>
              <xdr:nvGrpSpPr>
                <xdr:cNvPr id="66" name="Group 65">
                  <a:extLst>
                    <a:ext uri="{FF2B5EF4-FFF2-40B4-BE49-F238E27FC236}">
                      <a16:creationId xmlns:a16="http://schemas.microsoft.com/office/drawing/2014/main" id="{00000000-0008-0000-1300-000042000000}"/>
                    </a:ext>
                  </a:extLst>
                </xdr:cNvPr>
                <xdr:cNvGrpSpPr>
                  <a:grpSpLocks/>
                </xdr:cNvGrpSpPr>
              </xdr:nvGrpSpPr>
              <xdr:grpSpPr bwMode="auto">
                <a:xfrm>
                  <a:off x="1394" y="3308"/>
                  <a:ext cx="171" cy="389"/>
                  <a:chOff x="1394" y="3308"/>
                  <a:chExt cx="171" cy="389"/>
                </a:xfrm>
              </xdr:grpSpPr>
              <xdr:sp macro="" textlink="">
                <xdr:nvSpPr>
                  <xdr:cNvPr id="67" name="Arc 16">
                    <a:extLst>
                      <a:ext uri="{FF2B5EF4-FFF2-40B4-BE49-F238E27FC236}">
                        <a16:creationId xmlns:a16="http://schemas.microsoft.com/office/drawing/2014/main" id="{00000000-0008-0000-1300-000043000000}"/>
                      </a:ext>
                    </a:extLst>
                  </xdr:cNvPr>
                  <xdr:cNvSpPr>
                    <a:spLocks/>
                  </xdr:cNvSpPr>
                </xdr:nvSpPr>
                <xdr:spPr bwMode="auto">
                  <a:xfrm>
                    <a:off x="1395" y="3322"/>
                    <a:ext cx="121" cy="346"/>
                  </a:xfrm>
                  <a:custGeom>
                    <a:avLst/>
                    <a:gdLst>
                      <a:gd name="G0" fmla="+- 0 0 0"/>
                      <a:gd name="G1" fmla="+- 21600 0 0"/>
                      <a:gd name="G2" fmla="+- 21600 0 0"/>
                      <a:gd name="T0" fmla="*/ 0 w 21600"/>
                      <a:gd name="T1" fmla="*/ 0 h 43200"/>
                      <a:gd name="T2" fmla="*/ 0 w 21600"/>
                      <a:gd name="T3" fmla="*/ 43200 h 43200"/>
                      <a:gd name="T4" fmla="*/ 0 w 21600"/>
                      <a:gd name="T5" fmla="*/ 21600 h 43200"/>
                    </a:gdLst>
                    <a:ahLst/>
                    <a:cxnLst>
                      <a:cxn ang="0">
                        <a:pos x="T0" y="T1"/>
                      </a:cxn>
                      <a:cxn ang="0">
                        <a:pos x="T2" y="T3"/>
                      </a:cxn>
                      <a:cxn ang="0">
                        <a:pos x="T4" y="T5"/>
                      </a:cxn>
                    </a:cxnLst>
                    <a:rect l="0" t="0" r="r" b="b"/>
                    <a:pathLst>
                      <a:path w="21600" h="43200" fill="none" extrusionOk="0">
                        <a:moveTo>
                          <a:pt x="0" y="0"/>
                        </a:moveTo>
                        <a:cubicBezTo>
                          <a:pt x="11929" y="0"/>
                          <a:pt x="21600" y="9670"/>
                          <a:pt x="21600" y="21600"/>
                        </a:cubicBezTo>
                        <a:cubicBezTo>
                          <a:pt x="21600" y="33529"/>
                          <a:pt x="11929" y="43199"/>
                          <a:pt x="0" y="43199"/>
                        </a:cubicBezTo>
                      </a:path>
                      <a:path w="21600" h="43200" stroke="0" extrusionOk="0">
                        <a:moveTo>
                          <a:pt x="0" y="0"/>
                        </a:moveTo>
                        <a:cubicBezTo>
                          <a:pt x="11929" y="0"/>
                          <a:pt x="21600" y="9670"/>
                          <a:pt x="21600" y="21600"/>
                        </a:cubicBezTo>
                        <a:cubicBezTo>
                          <a:pt x="21600" y="33529"/>
                          <a:pt x="11929" y="43199"/>
                          <a:pt x="0" y="43199"/>
                        </a:cubicBezTo>
                        <a:lnTo>
                          <a:pt x="0" y="21600"/>
                        </a:lnTo>
                        <a:close/>
                      </a:path>
                    </a:pathLst>
                  </a:custGeom>
                  <a:solidFill>
                    <a:srgbClr val="00A000"/>
                  </a:solidFill>
                  <a:ln w="12700" cap="rnd">
                    <a:solidFill>
                      <a:srgbClr val="000000"/>
                    </a:solidFill>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68" name="Freeform 17">
                    <a:extLst>
                      <a:ext uri="{FF2B5EF4-FFF2-40B4-BE49-F238E27FC236}">
                        <a16:creationId xmlns:a16="http://schemas.microsoft.com/office/drawing/2014/main" id="{00000000-0008-0000-1300-000044000000}"/>
                      </a:ext>
                    </a:extLst>
                  </xdr:cNvPr>
                  <xdr:cNvSpPr>
                    <a:spLocks/>
                  </xdr:cNvSpPr>
                </xdr:nvSpPr>
                <xdr:spPr bwMode="auto">
                  <a:xfrm>
                    <a:off x="1394" y="3308"/>
                    <a:ext cx="171" cy="389"/>
                  </a:xfrm>
                  <a:custGeom>
                    <a:avLst/>
                    <a:gdLst>
                      <a:gd name="T0" fmla="*/ 2 w 171"/>
                      <a:gd name="T1" fmla="*/ 0 h 389"/>
                      <a:gd name="T2" fmla="*/ 170 w 171"/>
                      <a:gd name="T3" fmla="*/ 0 h 389"/>
                      <a:gd name="T4" fmla="*/ 151 w 171"/>
                      <a:gd name="T5" fmla="*/ 5 h 389"/>
                      <a:gd name="T6" fmla="*/ 140 w 171"/>
                      <a:gd name="T7" fmla="*/ 10 h 389"/>
                      <a:gd name="T8" fmla="*/ 132 w 171"/>
                      <a:gd name="T9" fmla="*/ 14 h 389"/>
                      <a:gd name="T10" fmla="*/ 122 w 171"/>
                      <a:gd name="T11" fmla="*/ 22 h 389"/>
                      <a:gd name="T12" fmla="*/ 114 w 171"/>
                      <a:gd name="T13" fmla="*/ 29 h 389"/>
                      <a:gd name="T14" fmla="*/ 107 w 171"/>
                      <a:gd name="T15" fmla="*/ 36 h 389"/>
                      <a:gd name="T16" fmla="*/ 99 w 171"/>
                      <a:gd name="T17" fmla="*/ 44 h 389"/>
                      <a:gd name="T18" fmla="*/ 95 w 171"/>
                      <a:gd name="T19" fmla="*/ 52 h 389"/>
                      <a:gd name="T20" fmla="*/ 90 w 171"/>
                      <a:gd name="T21" fmla="*/ 61 h 389"/>
                      <a:gd name="T22" fmla="*/ 85 w 171"/>
                      <a:gd name="T23" fmla="*/ 72 h 389"/>
                      <a:gd name="T24" fmla="*/ 80 w 171"/>
                      <a:gd name="T25" fmla="*/ 83 h 389"/>
                      <a:gd name="T26" fmla="*/ 77 w 171"/>
                      <a:gd name="T27" fmla="*/ 94 h 389"/>
                      <a:gd name="T28" fmla="*/ 73 w 171"/>
                      <a:gd name="T29" fmla="*/ 103 h 389"/>
                      <a:gd name="T30" fmla="*/ 44 w 171"/>
                      <a:gd name="T31" fmla="*/ 232 h 389"/>
                      <a:gd name="T32" fmla="*/ 35 w 171"/>
                      <a:gd name="T33" fmla="*/ 285 h 389"/>
                      <a:gd name="T34" fmla="*/ 28 w 171"/>
                      <a:gd name="T35" fmla="*/ 320 h 389"/>
                      <a:gd name="T36" fmla="*/ 19 w 171"/>
                      <a:gd name="T37" fmla="*/ 354 h 389"/>
                      <a:gd name="T38" fmla="*/ 7 w 171"/>
                      <a:gd name="T39" fmla="*/ 388 h 389"/>
                      <a:gd name="T40" fmla="*/ 0 w 171"/>
                      <a:gd name="T41" fmla="*/ 388 h 389"/>
                      <a:gd name="T42" fmla="*/ 2 w 171"/>
                      <a:gd name="T43" fmla="*/ 0 h 38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1" h="389">
                        <a:moveTo>
                          <a:pt x="2" y="0"/>
                        </a:moveTo>
                        <a:lnTo>
                          <a:pt x="170" y="0"/>
                        </a:lnTo>
                        <a:lnTo>
                          <a:pt x="151" y="5"/>
                        </a:lnTo>
                        <a:lnTo>
                          <a:pt x="140" y="10"/>
                        </a:lnTo>
                        <a:lnTo>
                          <a:pt x="132" y="14"/>
                        </a:lnTo>
                        <a:lnTo>
                          <a:pt x="122" y="22"/>
                        </a:lnTo>
                        <a:lnTo>
                          <a:pt x="114" y="29"/>
                        </a:lnTo>
                        <a:lnTo>
                          <a:pt x="107" y="36"/>
                        </a:lnTo>
                        <a:lnTo>
                          <a:pt x="99" y="44"/>
                        </a:lnTo>
                        <a:lnTo>
                          <a:pt x="95" y="52"/>
                        </a:lnTo>
                        <a:lnTo>
                          <a:pt x="90" y="61"/>
                        </a:lnTo>
                        <a:lnTo>
                          <a:pt x="85" y="72"/>
                        </a:lnTo>
                        <a:lnTo>
                          <a:pt x="80" y="83"/>
                        </a:lnTo>
                        <a:lnTo>
                          <a:pt x="77" y="94"/>
                        </a:lnTo>
                        <a:lnTo>
                          <a:pt x="73" y="103"/>
                        </a:lnTo>
                        <a:lnTo>
                          <a:pt x="44" y="232"/>
                        </a:lnTo>
                        <a:lnTo>
                          <a:pt x="35" y="285"/>
                        </a:lnTo>
                        <a:lnTo>
                          <a:pt x="28" y="320"/>
                        </a:lnTo>
                        <a:lnTo>
                          <a:pt x="19" y="354"/>
                        </a:lnTo>
                        <a:lnTo>
                          <a:pt x="7" y="388"/>
                        </a:lnTo>
                        <a:lnTo>
                          <a:pt x="0" y="388"/>
                        </a:lnTo>
                        <a:lnTo>
                          <a:pt x="2" y="0"/>
                        </a:lnTo>
                      </a:path>
                    </a:pathLst>
                  </a:custGeom>
                  <a:solidFill>
                    <a:srgbClr val="FF8000"/>
                  </a:solidFill>
                  <a:ln w="12700" cap="rnd" cmpd="sng">
                    <a:solidFill>
                      <a:srgbClr val="000000"/>
                    </a:solidFill>
                    <a:prstDash val="solid"/>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grpSp>
          <xdr:grpSp>
            <xdr:nvGrpSpPr>
              <xdr:cNvPr id="58" name="Group 57">
                <a:extLst>
                  <a:ext uri="{FF2B5EF4-FFF2-40B4-BE49-F238E27FC236}">
                    <a16:creationId xmlns:a16="http://schemas.microsoft.com/office/drawing/2014/main" id="{00000000-0008-0000-1300-00003A000000}"/>
                  </a:ext>
                </a:extLst>
              </xdr:cNvPr>
              <xdr:cNvGrpSpPr>
                <a:grpSpLocks/>
              </xdr:cNvGrpSpPr>
            </xdr:nvGrpSpPr>
            <xdr:grpSpPr bwMode="auto">
              <a:xfrm>
                <a:off x="649" y="2847"/>
                <a:ext cx="916" cy="392"/>
                <a:chOff x="649" y="2847"/>
                <a:chExt cx="916" cy="392"/>
              </a:xfrm>
            </xdr:grpSpPr>
            <xdr:grpSp>
              <xdr:nvGrpSpPr>
                <xdr:cNvPr id="59" name="Group 58">
                  <a:extLst>
                    <a:ext uri="{FF2B5EF4-FFF2-40B4-BE49-F238E27FC236}">
                      <a16:creationId xmlns:a16="http://schemas.microsoft.com/office/drawing/2014/main" id="{00000000-0008-0000-1300-00003B000000}"/>
                    </a:ext>
                  </a:extLst>
                </xdr:cNvPr>
                <xdr:cNvGrpSpPr>
                  <a:grpSpLocks/>
                </xdr:cNvGrpSpPr>
              </xdr:nvGrpSpPr>
              <xdr:grpSpPr bwMode="auto">
                <a:xfrm>
                  <a:off x="649" y="2847"/>
                  <a:ext cx="170" cy="390"/>
                  <a:chOff x="649" y="2847"/>
                  <a:chExt cx="170" cy="390"/>
                </a:xfrm>
              </xdr:grpSpPr>
              <xdr:sp macro="" textlink="">
                <xdr:nvSpPr>
                  <xdr:cNvPr id="63" name="Arc 20">
                    <a:extLst>
                      <a:ext uri="{FF2B5EF4-FFF2-40B4-BE49-F238E27FC236}">
                        <a16:creationId xmlns:a16="http://schemas.microsoft.com/office/drawing/2014/main" id="{00000000-0008-0000-1300-00003F000000}"/>
                      </a:ext>
                    </a:extLst>
                  </xdr:cNvPr>
                  <xdr:cNvSpPr>
                    <a:spLocks/>
                  </xdr:cNvSpPr>
                </xdr:nvSpPr>
                <xdr:spPr bwMode="auto">
                  <a:xfrm>
                    <a:off x="686" y="2861"/>
                    <a:ext cx="121" cy="347"/>
                  </a:xfrm>
                  <a:custGeom>
                    <a:avLst/>
                    <a:gdLst>
                      <a:gd name="G0" fmla="+- 21600 0 0"/>
                      <a:gd name="G1" fmla="+- 21599 0 0"/>
                      <a:gd name="G2" fmla="+- 21600 0 0"/>
                      <a:gd name="T0" fmla="*/ 21600 w 21600"/>
                      <a:gd name="T1" fmla="*/ 43199 h 43199"/>
                      <a:gd name="T2" fmla="*/ 21422 w 21600"/>
                      <a:gd name="T3" fmla="*/ 0 h 43199"/>
                      <a:gd name="T4" fmla="*/ 21600 w 21600"/>
                      <a:gd name="T5" fmla="*/ 21599 h 43199"/>
                    </a:gdLst>
                    <a:ahLst/>
                    <a:cxnLst>
                      <a:cxn ang="0">
                        <a:pos x="T0" y="T1"/>
                      </a:cxn>
                      <a:cxn ang="0">
                        <a:pos x="T2" y="T3"/>
                      </a:cxn>
                      <a:cxn ang="0">
                        <a:pos x="T4" y="T5"/>
                      </a:cxn>
                    </a:cxnLst>
                    <a:rect l="0" t="0" r="r" b="b"/>
                    <a:pathLst>
                      <a:path w="21600" h="43199" fill="none" extrusionOk="0">
                        <a:moveTo>
                          <a:pt x="21600" y="43198"/>
                        </a:moveTo>
                        <a:cubicBezTo>
                          <a:pt x="9670" y="43199"/>
                          <a:pt x="0" y="33528"/>
                          <a:pt x="0" y="21599"/>
                        </a:cubicBezTo>
                        <a:cubicBezTo>
                          <a:pt x="0" y="9739"/>
                          <a:pt x="9562" y="97"/>
                          <a:pt x="21421" y="-1"/>
                        </a:cubicBezTo>
                      </a:path>
                      <a:path w="21600" h="43199" stroke="0" extrusionOk="0">
                        <a:moveTo>
                          <a:pt x="21600" y="43198"/>
                        </a:moveTo>
                        <a:cubicBezTo>
                          <a:pt x="9670" y="43199"/>
                          <a:pt x="0" y="33528"/>
                          <a:pt x="0" y="21599"/>
                        </a:cubicBezTo>
                        <a:cubicBezTo>
                          <a:pt x="0" y="9739"/>
                          <a:pt x="9562" y="97"/>
                          <a:pt x="21421" y="-1"/>
                        </a:cubicBezTo>
                        <a:lnTo>
                          <a:pt x="21600" y="21599"/>
                        </a:lnTo>
                        <a:close/>
                      </a:path>
                    </a:pathLst>
                  </a:custGeom>
                  <a:solidFill>
                    <a:srgbClr val="E0E000"/>
                  </a:solidFill>
                  <a:ln w="12700" cap="rnd">
                    <a:solidFill>
                      <a:srgbClr val="000000"/>
                    </a:solidFill>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64" name="Freeform 21">
                    <a:extLst>
                      <a:ext uri="{FF2B5EF4-FFF2-40B4-BE49-F238E27FC236}">
                        <a16:creationId xmlns:a16="http://schemas.microsoft.com/office/drawing/2014/main" id="{00000000-0008-0000-1300-000040000000}"/>
                      </a:ext>
                    </a:extLst>
                  </xdr:cNvPr>
                  <xdr:cNvSpPr>
                    <a:spLocks/>
                  </xdr:cNvSpPr>
                </xdr:nvSpPr>
                <xdr:spPr bwMode="auto">
                  <a:xfrm>
                    <a:off x="649" y="2847"/>
                    <a:ext cx="170" cy="390"/>
                  </a:xfrm>
                  <a:custGeom>
                    <a:avLst/>
                    <a:gdLst>
                      <a:gd name="T0" fmla="*/ 168 w 170"/>
                      <a:gd name="T1" fmla="*/ 0 h 390"/>
                      <a:gd name="T2" fmla="*/ 0 w 170"/>
                      <a:gd name="T3" fmla="*/ 0 h 390"/>
                      <a:gd name="T4" fmla="*/ 19 w 170"/>
                      <a:gd name="T5" fmla="*/ 5 h 390"/>
                      <a:gd name="T6" fmla="*/ 29 w 170"/>
                      <a:gd name="T7" fmla="*/ 11 h 390"/>
                      <a:gd name="T8" fmla="*/ 37 w 170"/>
                      <a:gd name="T9" fmla="*/ 16 h 390"/>
                      <a:gd name="T10" fmla="*/ 48 w 170"/>
                      <a:gd name="T11" fmla="*/ 22 h 390"/>
                      <a:gd name="T12" fmla="*/ 56 w 170"/>
                      <a:gd name="T13" fmla="*/ 30 h 390"/>
                      <a:gd name="T14" fmla="*/ 62 w 170"/>
                      <a:gd name="T15" fmla="*/ 37 h 390"/>
                      <a:gd name="T16" fmla="*/ 71 w 170"/>
                      <a:gd name="T17" fmla="*/ 46 h 390"/>
                      <a:gd name="T18" fmla="*/ 74 w 170"/>
                      <a:gd name="T19" fmla="*/ 53 h 390"/>
                      <a:gd name="T20" fmla="*/ 79 w 170"/>
                      <a:gd name="T21" fmla="*/ 64 h 390"/>
                      <a:gd name="T22" fmla="*/ 85 w 170"/>
                      <a:gd name="T23" fmla="*/ 73 h 390"/>
                      <a:gd name="T24" fmla="*/ 90 w 170"/>
                      <a:gd name="T25" fmla="*/ 85 h 390"/>
                      <a:gd name="T26" fmla="*/ 93 w 170"/>
                      <a:gd name="T27" fmla="*/ 95 h 390"/>
                      <a:gd name="T28" fmla="*/ 97 w 170"/>
                      <a:gd name="T29" fmla="*/ 106 h 390"/>
                      <a:gd name="T30" fmla="*/ 125 w 170"/>
                      <a:gd name="T31" fmla="*/ 233 h 390"/>
                      <a:gd name="T32" fmla="*/ 135 w 170"/>
                      <a:gd name="T33" fmla="*/ 286 h 390"/>
                      <a:gd name="T34" fmla="*/ 141 w 170"/>
                      <a:gd name="T35" fmla="*/ 321 h 390"/>
                      <a:gd name="T36" fmla="*/ 150 w 170"/>
                      <a:gd name="T37" fmla="*/ 357 h 390"/>
                      <a:gd name="T38" fmla="*/ 163 w 170"/>
                      <a:gd name="T39" fmla="*/ 389 h 390"/>
                      <a:gd name="T40" fmla="*/ 169 w 170"/>
                      <a:gd name="T41" fmla="*/ 389 h 390"/>
                      <a:gd name="T42" fmla="*/ 168 w 170"/>
                      <a:gd name="T43" fmla="*/ 0 h 39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0" h="390">
                        <a:moveTo>
                          <a:pt x="168" y="0"/>
                        </a:moveTo>
                        <a:lnTo>
                          <a:pt x="0" y="0"/>
                        </a:lnTo>
                        <a:lnTo>
                          <a:pt x="19" y="5"/>
                        </a:lnTo>
                        <a:lnTo>
                          <a:pt x="29" y="11"/>
                        </a:lnTo>
                        <a:lnTo>
                          <a:pt x="37" y="16"/>
                        </a:lnTo>
                        <a:lnTo>
                          <a:pt x="48" y="22"/>
                        </a:lnTo>
                        <a:lnTo>
                          <a:pt x="56" y="30"/>
                        </a:lnTo>
                        <a:lnTo>
                          <a:pt x="62" y="37"/>
                        </a:lnTo>
                        <a:lnTo>
                          <a:pt x="71" y="46"/>
                        </a:lnTo>
                        <a:lnTo>
                          <a:pt x="74" y="53"/>
                        </a:lnTo>
                        <a:lnTo>
                          <a:pt x="79" y="64"/>
                        </a:lnTo>
                        <a:lnTo>
                          <a:pt x="85" y="73"/>
                        </a:lnTo>
                        <a:lnTo>
                          <a:pt x="90" y="85"/>
                        </a:lnTo>
                        <a:lnTo>
                          <a:pt x="93" y="95"/>
                        </a:lnTo>
                        <a:lnTo>
                          <a:pt x="97" y="106"/>
                        </a:lnTo>
                        <a:lnTo>
                          <a:pt x="125" y="233"/>
                        </a:lnTo>
                        <a:lnTo>
                          <a:pt x="135" y="286"/>
                        </a:lnTo>
                        <a:lnTo>
                          <a:pt x="141" y="321"/>
                        </a:lnTo>
                        <a:lnTo>
                          <a:pt x="150" y="357"/>
                        </a:lnTo>
                        <a:lnTo>
                          <a:pt x="163" y="389"/>
                        </a:lnTo>
                        <a:lnTo>
                          <a:pt x="169" y="389"/>
                        </a:lnTo>
                        <a:lnTo>
                          <a:pt x="168" y="0"/>
                        </a:lnTo>
                      </a:path>
                    </a:pathLst>
                  </a:custGeom>
                  <a:solidFill>
                    <a:srgbClr val="FF8000"/>
                  </a:solidFill>
                  <a:ln w="12700" cap="rnd" cmpd="sng">
                    <a:solidFill>
                      <a:srgbClr val="000000"/>
                    </a:solidFill>
                    <a:prstDash val="solid"/>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grpSp>
              <xdr:nvGrpSpPr>
                <xdr:cNvPr id="60" name="Group 59">
                  <a:extLst>
                    <a:ext uri="{FF2B5EF4-FFF2-40B4-BE49-F238E27FC236}">
                      <a16:creationId xmlns:a16="http://schemas.microsoft.com/office/drawing/2014/main" id="{00000000-0008-0000-1300-00003C000000}"/>
                    </a:ext>
                  </a:extLst>
                </xdr:cNvPr>
                <xdr:cNvGrpSpPr>
                  <a:grpSpLocks/>
                </xdr:cNvGrpSpPr>
              </xdr:nvGrpSpPr>
              <xdr:grpSpPr bwMode="auto">
                <a:xfrm>
                  <a:off x="1394" y="2849"/>
                  <a:ext cx="171" cy="390"/>
                  <a:chOff x="1394" y="2849"/>
                  <a:chExt cx="171" cy="390"/>
                </a:xfrm>
              </xdr:grpSpPr>
              <xdr:sp macro="" textlink="">
                <xdr:nvSpPr>
                  <xdr:cNvPr id="61" name="Arc 23">
                    <a:extLst>
                      <a:ext uri="{FF2B5EF4-FFF2-40B4-BE49-F238E27FC236}">
                        <a16:creationId xmlns:a16="http://schemas.microsoft.com/office/drawing/2014/main" id="{00000000-0008-0000-1300-00003D000000}"/>
                      </a:ext>
                    </a:extLst>
                  </xdr:cNvPr>
                  <xdr:cNvSpPr>
                    <a:spLocks/>
                  </xdr:cNvSpPr>
                </xdr:nvSpPr>
                <xdr:spPr bwMode="auto">
                  <a:xfrm>
                    <a:off x="1395" y="2864"/>
                    <a:ext cx="121" cy="347"/>
                  </a:xfrm>
                  <a:custGeom>
                    <a:avLst/>
                    <a:gdLst>
                      <a:gd name="G0" fmla="+- 0 0 0"/>
                      <a:gd name="G1" fmla="+- 21600 0 0"/>
                      <a:gd name="G2" fmla="+- 21600 0 0"/>
                      <a:gd name="T0" fmla="*/ 0 w 21600"/>
                      <a:gd name="T1" fmla="*/ 0 h 43200"/>
                      <a:gd name="T2" fmla="*/ 0 w 21600"/>
                      <a:gd name="T3" fmla="*/ 43200 h 43200"/>
                      <a:gd name="T4" fmla="*/ 0 w 21600"/>
                      <a:gd name="T5" fmla="*/ 21600 h 43200"/>
                    </a:gdLst>
                    <a:ahLst/>
                    <a:cxnLst>
                      <a:cxn ang="0">
                        <a:pos x="T0" y="T1"/>
                      </a:cxn>
                      <a:cxn ang="0">
                        <a:pos x="T2" y="T3"/>
                      </a:cxn>
                      <a:cxn ang="0">
                        <a:pos x="T4" y="T5"/>
                      </a:cxn>
                    </a:cxnLst>
                    <a:rect l="0" t="0" r="r" b="b"/>
                    <a:pathLst>
                      <a:path w="21600" h="43200" fill="none" extrusionOk="0">
                        <a:moveTo>
                          <a:pt x="0" y="0"/>
                        </a:moveTo>
                        <a:cubicBezTo>
                          <a:pt x="11929" y="0"/>
                          <a:pt x="21600" y="9670"/>
                          <a:pt x="21600" y="21600"/>
                        </a:cubicBezTo>
                        <a:cubicBezTo>
                          <a:pt x="21600" y="33529"/>
                          <a:pt x="11929" y="43199"/>
                          <a:pt x="0" y="43199"/>
                        </a:cubicBezTo>
                      </a:path>
                      <a:path w="21600" h="43200" stroke="0" extrusionOk="0">
                        <a:moveTo>
                          <a:pt x="0" y="0"/>
                        </a:moveTo>
                        <a:cubicBezTo>
                          <a:pt x="11929" y="0"/>
                          <a:pt x="21600" y="9670"/>
                          <a:pt x="21600" y="21600"/>
                        </a:cubicBezTo>
                        <a:cubicBezTo>
                          <a:pt x="21600" y="33529"/>
                          <a:pt x="11929" y="43199"/>
                          <a:pt x="0" y="43199"/>
                        </a:cubicBezTo>
                        <a:lnTo>
                          <a:pt x="0" y="21600"/>
                        </a:lnTo>
                        <a:close/>
                      </a:path>
                    </a:pathLst>
                  </a:custGeom>
                  <a:solidFill>
                    <a:srgbClr val="E0E000"/>
                  </a:solidFill>
                  <a:ln w="12700" cap="rnd">
                    <a:solidFill>
                      <a:srgbClr val="000000"/>
                    </a:solidFill>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62" name="Freeform 24">
                    <a:extLst>
                      <a:ext uri="{FF2B5EF4-FFF2-40B4-BE49-F238E27FC236}">
                        <a16:creationId xmlns:a16="http://schemas.microsoft.com/office/drawing/2014/main" id="{00000000-0008-0000-1300-00003E000000}"/>
                      </a:ext>
                    </a:extLst>
                  </xdr:cNvPr>
                  <xdr:cNvSpPr>
                    <a:spLocks/>
                  </xdr:cNvSpPr>
                </xdr:nvSpPr>
                <xdr:spPr bwMode="auto">
                  <a:xfrm>
                    <a:off x="1394" y="2849"/>
                    <a:ext cx="171" cy="390"/>
                  </a:xfrm>
                  <a:custGeom>
                    <a:avLst/>
                    <a:gdLst>
                      <a:gd name="T0" fmla="*/ 2 w 171"/>
                      <a:gd name="T1" fmla="*/ 0 h 390"/>
                      <a:gd name="T2" fmla="*/ 170 w 171"/>
                      <a:gd name="T3" fmla="*/ 0 h 390"/>
                      <a:gd name="T4" fmla="*/ 151 w 171"/>
                      <a:gd name="T5" fmla="*/ 5 h 390"/>
                      <a:gd name="T6" fmla="*/ 140 w 171"/>
                      <a:gd name="T7" fmla="*/ 11 h 390"/>
                      <a:gd name="T8" fmla="*/ 132 w 171"/>
                      <a:gd name="T9" fmla="*/ 16 h 390"/>
                      <a:gd name="T10" fmla="*/ 122 w 171"/>
                      <a:gd name="T11" fmla="*/ 22 h 390"/>
                      <a:gd name="T12" fmla="*/ 114 w 171"/>
                      <a:gd name="T13" fmla="*/ 30 h 390"/>
                      <a:gd name="T14" fmla="*/ 107 w 171"/>
                      <a:gd name="T15" fmla="*/ 37 h 390"/>
                      <a:gd name="T16" fmla="*/ 99 w 171"/>
                      <a:gd name="T17" fmla="*/ 46 h 390"/>
                      <a:gd name="T18" fmla="*/ 95 w 171"/>
                      <a:gd name="T19" fmla="*/ 53 h 390"/>
                      <a:gd name="T20" fmla="*/ 90 w 171"/>
                      <a:gd name="T21" fmla="*/ 64 h 390"/>
                      <a:gd name="T22" fmla="*/ 85 w 171"/>
                      <a:gd name="T23" fmla="*/ 73 h 390"/>
                      <a:gd name="T24" fmla="*/ 80 w 171"/>
                      <a:gd name="T25" fmla="*/ 85 h 390"/>
                      <a:gd name="T26" fmla="*/ 77 w 171"/>
                      <a:gd name="T27" fmla="*/ 95 h 390"/>
                      <a:gd name="T28" fmla="*/ 73 w 171"/>
                      <a:gd name="T29" fmla="*/ 106 h 390"/>
                      <a:gd name="T30" fmla="*/ 44 w 171"/>
                      <a:gd name="T31" fmla="*/ 233 h 390"/>
                      <a:gd name="T32" fmla="*/ 35 w 171"/>
                      <a:gd name="T33" fmla="*/ 286 h 390"/>
                      <a:gd name="T34" fmla="*/ 28 w 171"/>
                      <a:gd name="T35" fmla="*/ 322 h 390"/>
                      <a:gd name="T36" fmla="*/ 19 w 171"/>
                      <a:gd name="T37" fmla="*/ 357 h 390"/>
                      <a:gd name="T38" fmla="*/ 7 w 171"/>
                      <a:gd name="T39" fmla="*/ 389 h 390"/>
                      <a:gd name="T40" fmla="*/ 0 w 171"/>
                      <a:gd name="T41" fmla="*/ 389 h 390"/>
                      <a:gd name="T42" fmla="*/ 2 w 171"/>
                      <a:gd name="T43" fmla="*/ 0 h 39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Lst>
                    <a:rect l="0" t="0" r="r" b="b"/>
                    <a:pathLst>
                      <a:path w="171" h="390">
                        <a:moveTo>
                          <a:pt x="2" y="0"/>
                        </a:moveTo>
                        <a:lnTo>
                          <a:pt x="170" y="0"/>
                        </a:lnTo>
                        <a:lnTo>
                          <a:pt x="151" y="5"/>
                        </a:lnTo>
                        <a:lnTo>
                          <a:pt x="140" y="11"/>
                        </a:lnTo>
                        <a:lnTo>
                          <a:pt x="132" y="16"/>
                        </a:lnTo>
                        <a:lnTo>
                          <a:pt x="122" y="22"/>
                        </a:lnTo>
                        <a:lnTo>
                          <a:pt x="114" y="30"/>
                        </a:lnTo>
                        <a:lnTo>
                          <a:pt x="107" y="37"/>
                        </a:lnTo>
                        <a:lnTo>
                          <a:pt x="99" y="46"/>
                        </a:lnTo>
                        <a:lnTo>
                          <a:pt x="95" y="53"/>
                        </a:lnTo>
                        <a:lnTo>
                          <a:pt x="90" y="64"/>
                        </a:lnTo>
                        <a:lnTo>
                          <a:pt x="85" y="73"/>
                        </a:lnTo>
                        <a:lnTo>
                          <a:pt x="80" y="85"/>
                        </a:lnTo>
                        <a:lnTo>
                          <a:pt x="77" y="95"/>
                        </a:lnTo>
                        <a:lnTo>
                          <a:pt x="73" y="106"/>
                        </a:lnTo>
                        <a:lnTo>
                          <a:pt x="44" y="233"/>
                        </a:lnTo>
                        <a:lnTo>
                          <a:pt x="35" y="286"/>
                        </a:lnTo>
                        <a:lnTo>
                          <a:pt x="28" y="322"/>
                        </a:lnTo>
                        <a:lnTo>
                          <a:pt x="19" y="357"/>
                        </a:lnTo>
                        <a:lnTo>
                          <a:pt x="7" y="389"/>
                        </a:lnTo>
                        <a:lnTo>
                          <a:pt x="0" y="389"/>
                        </a:lnTo>
                        <a:lnTo>
                          <a:pt x="2" y="0"/>
                        </a:lnTo>
                      </a:path>
                    </a:pathLst>
                  </a:custGeom>
                  <a:solidFill>
                    <a:srgbClr val="FF8000"/>
                  </a:solidFill>
                  <a:ln w="12700" cap="rnd" cmpd="sng">
                    <a:solidFill>
                      <a:srgbClr val="000000"/>
                    </a:solidFill>
                    <a:prstDash val="solid"/>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grpSp>
        </xdr:grpSp>
        <xdr:grpSp>
          <xdr:nvGrpSpPr>
            <xdr:cNvPr id="27" name="Group 26">
              <a:extLst>
                <a:ext uri="{FF2B5EF4-FFF2-40B4-BE49-F238E27FC236}">
                  <a16:creationId xmlns:a16="http://schemas.microsoft.com/office/drawing/2014/main" id="{00000000-0008-0000-1300-00001B000000}"/>
                </a:ext>
              </a:extLst>
            </xdr:cNvPr>
            <xdr:cNvGrpSpPr>
              <a:grpSpLocks/>
            </xdr:cNvGrpSpPr>
          </xdr:nvGrpSpPr>
          <xdr:grpSpPr bwMode="auto">
            <a:xfrm>
              <a:off x="930" y="2086"/>
              <a:ext cx="340" cy="254"/>
              <a:chOff x="930" y="2086"/>
              <a:chExt cx="340" cy="254"/>
            </a:xfrm>
          </xdr:grpSpPr>
          <xdr:sp macro="" textlink="">
            <xdr:nvSpPr>
              <xdr:cNvPr id="54" name="Freeform 28">
                <a:extLst>
                  <a:ext uri="{FF2B5EF4-FFF2-40B4-BE49-F238E27FC236}">
                    <a16:creationId xmlns:a16="http://schemas.microsoft.com/office/drawing/2014/main" id="{00000000-0008-0000-1300-000036000000}"/>
                  </a:ext>
                </a:extLst>
              </xdr:cNvPr>
              <xdr:cNvSpPr>
                <a:spLocks/>
              </xdr:cNvSpPr>
            </xdr:nvSpPr>
            <xdr:spPr bwMode="auto">
              <a:xfrm>
                <a:off x="930" y="2086"/>
                <a:ext cx="340" cy="254"/>
              </a:xfrm>
              <a:custGeom>
                <a:avLst/>
                <a:gdLst>
                  <a:gd name="T0" fmla="*/ 108 w 340"/>
                  <a:gd name="T1" fmla="*/ 253 h 254"/>
                  <a:gd name="T2" fmla="*/ 108 w 340"/>
                  <a:gd name="T3" fmla="*/ 196 h 254"/>
                  <a:gd name="T4" fmla="*/ 42 w 340"/>
                  <a:gd name="T5" fmla="*/ 196 h 254"/>
                  <a:gd name="T6" fmla="*/ 35 w 340"/>
                  <a:gd name="T7" fmla="*/ 194 h 254"/>
                  <a:gd name="T8" fmla="*/ 28 w 340"/>
                  <a:gd name="T9" fmla="*/ 193 h 254"/>
                  <a:gd name="T10" fmla="*/ 22 w 340"/>
                  <a:gd name="T11" fmla="*/ 188 h 254"/>
                  <a:gd name="T12" fmla="*/ 15 w 340"/>
                  <a:gd name="T13" fmla="*/ 184 h 254"/>
                  <a:gd name="T14" fmla="*/ 9 w 340"/>
                  <a:gd name="T15" fmla="*/ 178 h 254"/>
                  <a:gd name="T16" fmla="*/ 6 w 340"/>
                  <a:gd name="T17" fmla="*/ 172 h 254"/>
                  <a:gd name="T18" fmla="*/ 3 w 340"/>
                  <a:gd name="T19" fmla="*/ 168 h 254"/>
                  <a:gd name="T20" fmla="*/ 0 w 340"/>
                  <a:gd name="T21" fmla="*/ 159 h 254"/>
                  <a:gd name="T22" fmla="*/ 0 w 340"/>
                  <a:gd name="T23" fmla="*/ 152 h 254"/>
                  <a:gd name="T24" fmla="*/ 0 w 340"/>
                  <a:gd name="T25" fmla="*/ 146 h 254"/>
                  <a:gd name="T26" fmla="*/ 3 w 340"/>
                  <a:gd name="T27" fmla="*/ 137 h 254"/>
                  <a:gd name="T28" fmla="*/ 8 w 340"/>
                  <a:gd name="T29" fmla="*/ 129 h 254"/>
                  <a:gd name="T30" fmla="*/ 14 w 340"/>
                  <a:gd name="T31" fmla="*/ 121 h 254"/>
                  <a:gd name="T32" fmla="*/ 20 w 340"/>
                  <a:gd name="T33" fmla="*/ 116 h 254"/>
                  <a:gd name="T34" fmla="*/ 28 w 340"/>
                  <a:gd name="T35" fmla="*/ 110 h 254"/>
                  <a:gd name="T36" fmla="*/ 34 w 340"/>
                  <a:gd name="T37" fmla="*/ 105 h 254"/>
                  <a:gd name="T38" fmla="*/ 41 w 340"/>
                  <a:gd name="T39" fmla="*/ 103 h 254"/>
                  <a:gd name="T40" fmla="*/ 111 w 340"/>
                  <a:gd name="T41" fmla="*/ 103 h 254"/>
                  <a:gd name="T42" fmla="*/ 111 w 340"/>
                  <a:gd name="T43" fmla="*/ 54 h 254"/>
                  <a:gd name="T44" fmla="*/ 113 w 340"/>
                  <a:gd name="T45" fmla="*/ 47 h 254"/>
                  <a:gd name="T46" fmla="*/ 116 w 340"/>
                  <a:gd name="T47" fmla="*/ 39 h 254"/>
                  <a:gd name="T48" fmla="*/ 121 w 340"/>
                  <a:gd name="T49" fmla="*/ 32 h 254"/>
                  <a:gd name="T50" fmla="*/ 128 w 340"/>
                  <a:gd name="T51" fmla="*/ 24 h 254"/>
                  <a:gd name="T52" fmla="*/ 135 w 340"/>
                  <a:gd name="T53" fmla="*/ 16 h 254"/>
                  <a:gd name="T54" fmla="*/ 142 w 340"/>
                  <a:gd name="T55" fmla="*/ 10 h 254"/>
                  <a:gd name="T56" fmla="*/ 149 w 340"/>
                  <a:gd name="T57" fmla="*/ 7 h 254"/>
                  <a:gd name="T58" fmla="*/ 157 w 340"/>
                  <a:gd name="T59" fmla="*/ 2 h 254"/>
                  <a:gd name="T60" fmla="*/ 168 w 340"/>
                  <a:gd name="T61" fmla="*/ 0 h 254"/>
                  <a:gd name="T62" fmla="*/ 177 w 340"/>
                  <a:gd name="T63" fmla="*/ 0 h 254"/>
                  <a:gd name="T64" fmla="*/ 188 w 340"/>
                  <a:gd name="T65" fmla="*/ 2 h 254"/>
                  <a:gd name="T66" fmla="*/ 197 w 340"/>
                  <a:gd name="T67" fmla="*/ 6 h 254"/>
                  <a:gd name="T68" fmla="*/ 204 w 340"/>
                  <a:gd name="T69" fmla="*/ 10 h 254"/>
                  <a:gd name="T70" fmla="*/ 212 w 340"/>
                  <a:gd name="T71" fmla="*/ 16 h 254"/>
                  <a:gd name="T72" fmla="*/ 221 w 340"/>
                  <a:gd name="T73" fmla="*/ 24 h 254"/>
                  <a:gd name="T74" fmla="*/ 228 w 340"/>
                  <a:gd name="T75" fmla="*/ 32 h 254"/>
                  <a:gd name="T76" fmla="*/ 231 w 340"/>
                  <a:gd name="T77" fmla="*/ 39 h 254"/>
                  <a:gd name="T78" fmla="*/ 234 w 340"/>
                  <a:gd name="T79" fmla="*/ 47 h 254"/>
                  <a:gd name="T80" fmla="*/ 236 w 340"/>
                  <a:gd name="T81" fmla="*/ 57 h 254"/>
                  <a:gd name="T82" fmla="*/ 236 w 340"/>
                  <a:gd name="T83" fmla="*/ 103 h 254"/>
                  <a:gd name="T84" fmla="*/ 302 w 340"/>
                  <a:gd name="T85" fmla="*/ 103 h 254"/>
                  <a:gd name="T86" fmla="*/ 309 w 340"/>
                  <a:gd name="T87" fmla="*/ 105 h 254"/>
                  <a:gd name="T88" fmla="*/ 316 w 340"/>
                  <a:gd name="T89" fmla="*/ 110 h 254"/>
                  <a:gd name="T90" fmla="*/ 322 w 340"/>
                  <a:gd name="T91" fmla="*/ 114 h 254"/>
                  <a:gd name="T92" fmla="*/ 329 w 340"/>
                  <a:gd name="T93" fmla="*/ 121 h 254"/>
                  <a:gd name="T94" fmla="*/ 333 w 340"/>
                  <a:gd name="T95" fmla="*/ 127 h 254"/>
                  <a:gd name="T96" fmla="*/ 337 w 340"/>
                  <a:gd name="T97" fmla="*/ 135 h 254"/>
                  <a:gd name="T98" fmla="*/ 339 w 340"/>
                  <a:gd name="T99" fmla="*/ 143 h 254"/>
                  <a:gd name="T100" fmla="*/ 339 w 340"/>
                  <a:gd name="T101" fmla="*/ 150 h 254"/>
                  <a:gd name="T102" fmla="*/ 339 w 340"/>
                  <a:gd name="T103" fmla="*/ 159 h 254"/>
                  <a:gd name="T104" fmla="*/ 337 w 340"/>
                  <a:gd name="T105" fmla="*/ 166 h 254"/>
                  <a:gd name="T106" fmla="*/ 333 w 340"/>
                  <a:gd name="T107" fmla="*/ 174 h 254"/>
                  <a:gd name="T108" fmla="*/ 329 w 340"/>
                  <a:gd name="T109" fmla="*/ 180 h 254"/>
                  <a:gd name="T110" fmla="*/ 323 w 340"/>
                  <a:gd name="T111" fmla="*/ 187 h 254"/>
                  <a:gd name="T112" fmla="*/ 316 w 340"/>
                  <a:gd name="T113" fmla="*/ 191 h 254"/>
                  <a:gd name="T114" fmla="*/ 301 w 340"/>
                  <a:gd name="T115" fmla="*/ 196 h 254"/>
                  <a:gd name="T116" fmla="*/ 236 w 340"/>
                  <a:gd name="T117" fmla="*/ 196 h 254"/>
                  <a:gd name="T118" fmla="*/ 236 w 340"/>
                  <a:gd name="T119" fmla="*/ 253 h 254"/>
                  <a:gd name="T120" fmla="*/ 108 w 340"/>
                  <a:gd name="T121" fmla="*/ 253 h 25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 ang="0">
                    <a:pos x="T106" y="T107"/>
                  </a:cxn>
                  <a:cxn ang="0">
                    <a:pos x="T108" y="T109"/>
                  </a:cxn>
                  <a:cxn ang="0">
                    <a:pos x="T110" y="T111"/>
                  </a:cxn>
                  <a:cxn ang="0">
                    <a:pos x="T112" y="T113"/>
                  </a:cxn>
                  <a:cxn ang="0">
                    <a:pos x="T114" y="T115"/>
                  </a:cxn>
                  <a:cxn ang="0">
                    <a:pos x="T116" y="T117"/>
                  </a:cxn>
                  <a:cxn ang="0">
                    <a:pos x="T118" y="T119"/>
                  </a:cxn>
                  <a:cxn ang="0">
                    <a:pos x="T120" y="T121"/>
                  </a:cxn>
                </a:cxnLst>
                <a:rect l="0" t="0" r="r" b="b"/>
                <a:pathLst>
                  <a:path w="340" h="254">
                    <a:moveTo>
                      <a:pt x="108" y="253"/>
                    </a:moveTo>
                    <a:lnTo>
                      <a:pt x="108" y="196"/>
                    </a:lnTo>
                    <a:lnTo>
                      <a:pt x="42" y="196"/>
                    </a:lnTo>
                    <a:lnTo>
                      <a:pt x="35" y="194"/>
                    </a:lnTo>
                    <a:lnTo>
                      <a:pt x="28" y="193"/>
                    </a:lnTo>
                    <a:lnTo>
                      <a:pt x="22" y="188"/>
                    </a:lnTo>
                    <a:lnTo>
                      <a:pt x="15" y="184"/>
                    </a:lnTo>
                    <a:lnTo>
                      <a:pt x="9" y="178"/>
                    </a:lnTo>
                    <a:lnTo>
                      <a:pt x="6" y="172"/>
                    </a:lnTo>
                    <a:lnTo>
                      <a:pt x="3" y="168"/>
                    </a:lnTo>
                    <a:lnTo>
                      <a:pt x="0" y="159"/>
                    </a:lnTo>
                    <a:lnTo>
                      <a:pt x="0" y="152"/>
                    </a:lnTo>
                    <a:lnTo>
                      <a:pt x="0" y="146"/>
                    </a:lnTo>
                    <a:lnTo>
                      <a:pt x="3" y="137"/>
                    </a:lnTo>
                    <a:lnTo>
                      <a:pt x="8" y="129"/>
                    </a:lnTo>
                    <a:lnTo>
                      <a:pt x="14" y="121"/>
                    </a:lnTo>
                    <a:lnTo>
                      <a:pt x="20" y="116"/>
                    </a:lnTo>
                    <a:lnTo>
                      <a:pt x="28" y="110"/>
                    </a:lnTo>
                    <a:lnTo>
                      <a:pt x="34" y="105"/>
                    </a:lnTo>
                    <a:lnTo>
                      <a:pt x="41" y="103"/>
                    </a:lnTo>
                    <a:lnTo>
                      <a:pt x="111" y="103"/>
                    </a:lnTo>
                    <a:lnTo>
                      <a:pt x="111" y="54"/>
                    </a:lnTo>
                    <a:lnTo>
                      <a:pt x="113" y="47"/>
                    </a:lnTo>
                    <a:lnTo>
                      <a:pt x="116" y="39"/>
                    </a:lnTo>
                    <a:lnTo>
                      <a:pt x="121" y="32"/>
                    </a:lnTo>
                    <a:lnTo>
                      <a:pt x="128" y="24"/>
                    </a:lnTo>
                    <a:lnTo>
                      <a:pt x="135" y="16"/>
                    </a:lnTo>
                    <a:lnTo>
                      <a:pt x="142" y="10"/>
                    </a:lnTo>
                    <a:lnTo>
                      <a:pt x="149" y="7"/>
                    </a:lnTo>
                    <a:lnTo>
                      <a:pt x="157" y="2"/>
                    </a:lnTo>
                    <a:lnTo>
                      <a:pt x="168" y="0"/>
                    </a:lnTo>
                    <a:lnTo>
                      <a:pt x="177" y="0"/>
                    </a:lnTo>
                    <a:lnTo>
                      <a:pt x="188" y="2"/>
                    </a:lnTo>
                    <a:lnTo>
                      <a:pt x="197" y="6"/>
                    </a:lnTo>
                    <a:lnTo>
                      <a:pt x="204" y="10"/>
                    </a:lnTo>
                    <a:lnTo>
                      <a:pt x="212" y="16"/>
                    </a:lnTo>
                    <a:lnTo>
                      <a:pt x="221" y="24"/>
                    </a:lnTo>
                    <a:lnTo>
                      <a:pt x="228" y="32"/>
                    </a:lnTo>
                    <a:lnTo>
                      <a:pt x="231" y="39"/>
                    </a:lnTo>
                    <a:lnTo>
                      <a:pt x="234" y="47"/>
                    </a:lnTo>
                    <a:lnTo>
                      <a:pt x="236" y="57"/>
                    </a:lnTo>
                    <a:lnTo>
                      <a:pt x="236" y="103"/>
                    </a:lnTo>
                    <a:lnTo>
                      <a:pt x="302" y="103"/>
                    </a:lnTo>
                    <a:lnTo>
                      <a:pt x="309" y="105"/>
                    </a:lnTo>
                    <a:lnTo>
                      <a:pt x="316" y="110"/>
                    </a:lnTo>
                    <a:lnTo>
                      <a:pt x="322" y="114"/>
                    </a:lnTo>
                    <a:lnTo>
                      <a:pt x="329" y="121"/>
                    </a:lnTo>
                    <a:lnTo>
                      <a:pt x="333" y="127"/>
                    </a:lnTo>
                    <a:lnTo>
                      <a:pt x="337" y="135"/>
                    </a:lnTo>
                    <a:lnTo>
                      <a:pt x="339" y="143"/>
                    </a:lnTo>
                    <a:lnTo>
                      <a:pt x="339" y="150"/>
                    </a:lnTo>
                    <a:lnTo>
                      <a:pt x="339" y="159"/>
                    </a:lnTo>
                    <a:lnTo>
                      <a:pt x="337" y="166"/>
                    </a:lnTo>
                    <a:lnTo>
                      <a:pt x="333" y="174"/>
                    </a:lnTo>
                    <a:lnTo>
                      <a:pt x="329" y="180"/>
                    </a:lnTo>
                    <a:lnTo>
                      <a:pt x="323" y="187"/>
                    </a:lnTo>
                    <a:lnTo>
                      <a:pt x="316" y="191"/>
                    </a:lnTo>
                    <a:lnTo>
                      <a:pt x="301" y="196"/>
                    </a:lnTo>
                    <a:lnTo>
                      <a:pt x="236" y="196"/>
                    </a:lnTo>
                    <a:lnTo>
                      <a:pt x="236" y="253"/>
                    </a:lnTo>
                    <a:lnTo>
                      <a:pt x="108" y="253"/>
                    </a:lnTo>
                  </a:path>
                </a:pathLst>
              </a:custGeom>
              <a:solidFill>
                <a:srgbClr val="E07000"/>
              </a:solidFill>
              <a:ln>
                <a:noFill/>
              </a:ln>
              <a:effectLst/>
              <a:extLst>
                <a:ext uri="{91240B29-F687-4F45-9708-019B960494DF}">
                  <a14:hiddenLine xmlns:a14="http://schemas.microsoft.com/office/drawing/2010/main" w="9525" cap="rnd">
                    <a:solidFill>
                      <a:schemeClr val="tx1"/>
                    </a:solidFill>
                    <a:round/>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55" name="Oval 54">
                <a:extLst>
                  <a:ext uri="{FF2B5EF4-FFF2-40B4-BE49-F238E27FC236}">
                    <a16:creationId xmlns:a16="http://schemas.microsoft.com/office/drawing/2014/main" id="{00000000-0008-0000-1300-000037000000}"/>
                  </a:ext>
                </a:extLst>
              </xdr:cNvPr>
              <xdr:cNvSpPr>
                <a:spLocks noChangeArrowheads="1"/>
              </xdr:cNvSpPr>
            </xdr:nvSpPr>
            <xdr:spPr bwMode="auto">
              <a:xfrm>
                <a:off x="1058" y="2196"/>
                <a:ext cx="88" cy="87"/>
              </a:xfrm>
              <a:prstGeom prst="ellipse">
                <a:avLst/>
              </a:prstGeom>
              <a:solidFill>
                <a:srgbClr val="FFA040"/>
              </a:solidFill>
              <a:ln w="12700">
                <a:solidFill>
                  <a:srgbClr val="000000"/>
                </a:solidFill>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sp macro="" textlink="">
          <xdr:nvSpPr>
            <xdr:cNvPr id="28" name="Rectangle 27">
              <a:extLst>
                <a:ext uri="{FF2B5EF4-FFF2-40B4-BE49-F238E27FC236}">
                  <a16:creationId xmlns:a16="http://schemas.microsoft.com/office/drawing/2014/main" id="{00000000-0008-0000-1300-00001C000000}"/>
                </a:ext>
              </a:extLst>
            </xdr:cNvPr>
            <xdr:cNvSpPr>
              <a:spLocks noChangeArrowheads="1"/>
            </xdr:cNvSpPr>
          </xdr:nvSpPr>
          <xdr:spPr bwMode="auto">
            <a:xfrm>
              <a:off x="808" y="2330"/>
              <a:ext cx="588" cy="1414"/>
            </a:xfrm>
            <a:prstGeom prst="rect">
              <a:avLst/>
            </a:prstGeom>
            <a:solidFill>
              <a:srgbClr val="FF8000"/>
            </a:solidFill>
            <a:ln w="12700">
              <a:solidFill>
                <a:srgbClr val="000000"/>
              </a:solidFill>
              <a:miter lim="800000"/>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nvGrpSpPr>
            <xdr:cNvPr id="29" name="Group 28">
              <a:extLst>
                <a:ext uri="{FF2B5EF4-FFF2-40B4-BE49-F238E27FC236}">
                  <a16:creationId xmlns:a16="http://schemas.microsoft.com/office/drawing/2014/main" id="{00000000-0008-0000-1300-00001D000000}"/>
                </a:ext>
              </a:extLst>
            </xdr:cNvPr>
            <xdr:cNvGrpSpPr>
              <a:grpSpLocks/>
            </xdr:cNvGrpSpPr>
          </xdr:nvGrpSpPr>
          <xdr:grpSpPr bwMode="auto">
            <a:xfrm>
              <a:off x="886" y="2366"/>
              <a:ext cx="418" cy="1307"/>
              <a:chOff x="886" y="2366"/>
              <a:chExt cx="418" cy="1307"/>
            </a:xfrm>
          </xdr:grpSpPr>
          <xdr:grpSp>
            <xdr:nvGrpSpPr>
              <xdr:cNvPr id="30" name="Group 29">
                <a:extLst>
                  <a:ext uri="{FF2B5EF4-FFF2-40B4-BE49-F238E27FC236}">
                    <a16:creationId xmlns:a16="http://schemas.microsoft.com/office/drawing/2014/main" id="{00000000-0008-0000-1300-00001E000000}"/>
                  </a:ext>
                </a:extLst>
              </xdr:cNvPr>
              <xdr:cNvGrpSpPr>
                <a:grpSpLocks/>
              </xdr:cNvGrpSpPr>
            </xdr:nvGrpSpPr>
            <xdr:grpSpPr bwMode="auto">
              <a:xfrm>
                <a:off x="897" y="2366"/>
                <a:ext cx="407" cy="388"/>
                <a:chOff x="897" y="2366"/>
                <a:chExt cx="407" cy="388"/>
              </a:xfrm>
            </xdr:grpSpPr>
            <xdr:sp macro="" textlink="">
              <xdr:nvSpPr>
                <xdr:cNvPr id="47" name="Freeform 32">
                  <a:extLst>
                    <a:ext uri="{FF2B5EF4-FFF2-40B4-BE49-F238E27FC236}">
                      <a16:creationId xmlns:a16="http://schemas.microsoft.com/office/drawing/2014/main" id="{00000000-0008-0000-1300-00002F000000}"/>
                    </a:ext>
                  </a:extLst>
                </xdr:cNvPr>
                <xdr:cNvSpPr>
                  <a:spLocks/>
                </xdr:cNvSpPr>
              </xdr:nvSpPr>
              <xdr:spPr bwMode="auto">
                <a:xfrm>
                  <a:off x="897" y="2366"/>
                  <a:ext cx="407" cy="368"/>
                </a:xfrm>
                <a:custGeom>
                  <a:avLst/>
                  <a:gdLst>
                    <a:gd name="T0" fmla="*/ 0 w 407"/>
                    <a:gd name="T1" fmla="*/ 126 h 368"/>
                    <a:gd name="T2" fmla="*/ 1 w 407"/>
                    <a:gd name="T3" fmla="*/ 115 h 368"/>
                    <a:gd name="T4" fmla="*/ 5 w 407"/>
                    <a:gd name="T5" fmla="*/ 103 h 368"/>
                    <a:gd name="T6" fmla="*/ 9 w 407"/>
                    <a:gd name="T7" fmla="*/ 92 h 368"/>
                    <a:gd name="T8" fmla="*/ 15 w 407"/>
                    <a:gd name="T9" fmla="*/ 82 h 368"/>
                    <a:gd name="T10" fmla="*/ 21 w 407"/>
                    <a:gd name="T11" fmla="*/ 74 h 368"/>
                    <a:gd name="T12" fmla="*/ 28 w 407"/>
                    <a:gd name="T13" fmla="*/ 65 h 368"/>
                    <a:gd name="T14" fmla="*/ 36 w 407"/>
                    <a:gd name="T15" fmla="*/ 56 h 368"/>
                    <a:gd name="T16" fmla="*/ 47 w 407"/>
                    <a:gd name="T17" fmla="*/ 47 h 368"/>
                    <a:gd name="T18" fmla="*/ 60 w 407"/>
                    <a:gd name="T19" fmla="*/ 39 h 368"/>
                    <a:gd name="T20" fmla="*/ 76 w 407"/>
                    <a:gd name="T21" fmla="*/ 30 h 368"/>
                    <a:gd name="T22" fmla="*/ 92 w 407"/>
                    <a:gd name="T23" fmla="*/ 22 h 368"/>
                    <a:gd name="T24" fmla="*/ 111 w 407"/>
                    <a:gd name="T25" fmla="*/ 16 h 368"/>
                    <a:gd name="T26" fmla="*/ 128 w 407"/>
                    <a:gd name="T27" fmla="*/ 11 h 368"/>
                    <a:gd name="T28" fmla="*/ 149 w 407"/>
                    <a:gd name="T29" fmla="*/ 6 h 368"/>
                    <a:gd name="T30" fmla="*/ 167 w 407"/>
                    <a:gd name="T31" fmla="*/ 2 h 368"/>
                    <a:gd name="T32" fmla="*/ 182 w 407"/>
                    <a:gd name="T33" fmla="*/ 2 h 368"/>
                    <a:gd name="T34" fmla="*/ 198 w 407"/>
                    <a:gd name="T35" fmla="*/ 0 h 368"/>
                    <a:gd name="T36" fmla="*/ 217 w 407"/>
                    <a:gd name="T37" fmla="*/ 0 h 368"/>
                    <a:gd name="T38" fmla="*/ 231 w 407"/>
                    <a:gd name="T39" fmla="*/ 2 h 368"/>
                    <a:gd name="T40" fmla="*/ 245 w 407"/>
                    <a:gd name="T41" fmla="*/ 4 h 368"/>
                    <a:gd name="T42" fmla="*/ 262 w 407"/>
                    <a:gd name="T43" fmla="*/ 7 h 368"/>
                    <a:gd name="T44" fmla="*/ 277 w 407"/>
                    <a:gd name="T45" fmla="*/ 11 h 368"/>
                    <a:gd name="T46" fmla="*/ 292 w 407"/>
                    <a:gd name="T47" fmla="*/ 15 h 368"/>
                    <a:gd name="T48" fmla="*/ 306 w 407"/>
                    <a:gd name="T49" fmla="*/ 20 h 368"/>
                    <a:gd name="T50" fmla="*/ 322 w 407"/>
                    <a:gd name="T51" fmla="*/ 27 h 368"/>
                    <a:gd name="T52" fmla="*/ 332 w 407"/>
                    <a:gd name="T53" fmla="*/ 32 h 368"/>
                    <a:gd name="T54" fmla="*/ 341 w 407"/>
                    <a:gd name="T55" fmla="*/ 37 h 368"/>
                    <a:gd name="T56" fmla="*/ 350 w 407"/>
                    <a:gd name="T57" fmla="*/ 43 h 368"/>
                    <a:gd name="T58" fmla="*/ 360 w 407"/>
                    <a:gd name="T59" fmla="*/ 49 h 368"/>
                    <a:gd name="T60" fmla="*/ 368 w 407"/>
                    <a:gd name="T61" fmla="*/ 57 h 368"/>
                    <a:gd name="T62" fmla="*/ 378 w 407"/>
                    <a:gd name="T63" fmla="*/ 67 h 368"/>
                    <a:gd name="T64" fmla="*/ 385 w 407"/>
                    <a:gd name="T65" fmla="*/ 76 h 368"/>
                    <a:gd name="T66" fmla="*/ 391 w 407"/>
                    <a:gd name="T67" fmla="*/ 84 h 368"/>
                    <a:gd name="T68" fmla="*/ 395 w 407"/>
                    <a:gd name="T69" fmla="*/ 91 h 368"/>
                    <a:gd name="T70" fmla="*/ 400 w 407"/>
                    <a:gd name="T71" fmla="*/ 99 h 368"/>
                    <a:gd name="T72" fmla="*/ 404 w 407"/>
                    <a:gd name="T73" fmla="*/ 108 h 368"/>
                    <a:gd name="T74" fmla="*/ 406 w 407"/>
                    <a:gd name="T75" fmla="*/ 118 h 368"/>
                    <a:gd name="T76" fmla="*/ 406 w 407"/>
                    <a:gd name="T77" fmla="*/ 367 h 368"/>
                    <a:gd name="T78" fmla="*/ 1 w 407"/>
                    <a:gd name="T79" fmla="*/ 365 h 368"/>
                    <a:gd name="T80" fmla="*/ 0 w 407"/>
                    <a:gd name="T81" fmla="*/ 126 h 36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Lst>
                  <a:rect l="0" t="0" r="r" b="b"/>
                  <a:pathLst>
                    <a:path w="407" h="368">
                      <a:moveTo>
                        <a:pt x="0" y="126"/>
                      </a:moveTo>
                      <a:lnTo>
                        <a:pt x="1" y="115"/>
                      </a:lnTo>
                      <a:lnTo>
                        <a:pt x="5" y="103"/>
                      </a:lnTo>
                      <a:lnTo>
                        <a:pt x="9" y="92"/>
                      </a:lnTo>
                      <a:lnTo>
                        <a:pt x="15" y="82"/>
                      </a:lnTo>
                      <a:lnTo>
                        <a:pt x="21" y="74"/>
                      </a:lnTo>
                      <a:lnTo>
                        <a:pt x="28" y="65"/>
                      </a:lnTo>
                      <a:lnTo>
                        <a:pt x="36" y="56"/>
                      </a:lnTo>
                      <a:lnTo>
                        <a:pt x="47" y="47"/>
                      </a:lnTo>
                      <a:lnTo>
                        <a:pt x="60" y="39"/>
                      </a:lnTo>
                      <a:lnTo>
                        <a:pt x="76" y="30"/>
                      </a:lnTo>
                      <a:lnTo>
                        <a:pt x="92" y="22"/>
                      </a:lnTo>
                      <a:lnTo>
                        <a:pt x="111" y="16"/>
                      </a:lnTo>
                      <a:lnTo>
                        <a:pt x="128" y="11"/>
                      </a:lnTo>
                      <a:lnTo>
                        <a:pt x="149" y="6"/>
                      </a:lnTo>
                      <a:lnTo>
                        <a:pt x="167" y="2"/>
                      </a:lnTo>
                      <a:lnTo>
                        <a:pt x="182" y="2"/>
                      </a:lnTo>
                      <a:lnTo>
                        <a:pt x="198" y="0"/>
                      </a:lnTo>
                      <a:lnTo>
                        <a:pt x="217" y="0"/>
                      </a:lnTo>
                      <a:lnTo>
                        <a:pt x="231" y="2"/>
                      </a:lnTo>
                      <a:lnTo>
                        <a:pt x="245" y="4"/>
                      </a:lnTo>
                      <a:lnTo>
                        <a:pt x="262" y="7"/>
                      </a:lnTo>
                      <a:lnTo>
                        <a:pt x="277" y="11"/>
                      </a:lnTo>
                      <a:lnTo>
                        <a:pt x="292" y="15"/>
                      </a:lnTo>
                      <a:lnTo>
                        <a:pt x="306" y="20"/>
                      </a:lnTo>
                      <a:lnTo>
                        <a:pt x="322" y="27"/>
                      </a:lnTo>
                      <a:lnTo>
                        <a:pt x="332" y="32"/>
                      </a:lnTo>
                      <a:lnTo>
                        <a:pt x="341" y="37"/>
                      </a:lnTo>
                      <a:lnTo>
                        <a:pt x="350" y="43"/>
                      </a:lnTo>
                      <a:lnTo>
                        <a:pt x="360" y="49"/>
                      </a:lnTo>
                      <a:lnTo>
                        <a:pt x="368" y="57"/>
                      </a:lnTo>
                      <a:lnTo>
                        <a:pt x="378" y="67"/>
                      </a:lnTo>
                      <a:lnTo>
                        <a:pt x="385" y="76"/>
                      </a:lnTo>
                      <a:lnTo>
                        <a:pt x="391" y="84"/>
                      </a:lnTo>
                      <a:lnTo>
                        <a:pt x="395" y="91"/>
                      </a:lnTo>
                      <a:lnTo>
                        <a:pt x="400" y="99"/>
                      </a:lnTo>
                      <a:lnTo>
                        <a:pt x="404" y="108"/>
                      </a:lnTo>
                      <a:lnTo>
                        <a:pt x="406" y="118"/>
                      </a:lnTo>
                      <a:lnTo>
                        <a:pt x="406" y="367"/>
                      </a:lnTo>
                      <a:lnTo>
                        <a:pt x="1" y="365"/>
                      </a:lnTo>
                      <a:lnTo>
                        <a:pt x="0" y="126"/>
                      </a:lnTo>
                    </a:path>
                  </a:pathLst>
                </a:custGeom>
                <a:solidFill>
                  <a:srgbClr val="FFA040"/>
                </a:solidFill>
                <a:ln>
                  <a:noFill/>
                </a:ln>
                <a:effectLst/>
                <a:extLst>
                  <a:ext uri="{91240B29-F687-4F45-9708-019B960494DF}">
                    <a14:hiddenLine xmlns:a14="http://schemas.microsoft.com/office/drawing/2010/main" w="9525" cap="rnd">
                      <a:solidFill>
                        <a:schemeClr val="tx1"/>
                      </a:solidFill>
                      <a:round/>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nvGrpSpPr>
                <xdr:cNvPr id="48" name="Group 47">
                  <a:extLst>
                    <a:ext uri="{FF2B5EF4-FFF2-40B4-BE49-F238E27FC236}">
                      <a16:creationId xmlns:a16="http://schemas.microsoft.com/office/drawing/2014/main" id="{00000000-0008-0000-1300-000030000000}"/>
                    </a:ext>
                  </a:extLst>
                </xdr:cNvPr>
                <xdr:cNvGrpSpPr>
                  <a:grpSpLocks/>
                </xdr:cNvGrpSpPr>
              </xdr:nvGrpSpPr>
              <xdr:grpSpPr bwMode="auto">
                <a:xfrm>
                  <a:off x="897" y="2386"/>
                  <a:ext cx="407" cy="368"/>
                  <a:chOff x="897" y="2386"/>
                  <a:chExt cx="407" cy="368"/>
                </a:xfrm>
              </xdr:grpSpPr>
              <xdr:sp macro="" textlink="">
                <xdr:nvSpPr>
                  <xdr:cNvPr id="49" name="Freeform 33">
                    <a:extLst>
                      <a:ext uri="{FF2B5EF4-FFF2-40B4-BE49-F238E27FC236}">
                        <a16:creationId xmlns:a16="http://schemas.microsoft.com/office/drawing/2014/main" id="{00000000-0008-0000-1300-000031000000}"/>
                      </a:ext>
                    </a:extLst>
                  </xdr:cNvPr>
                  <xdr:cNvSpPr>
                    <a:spLocks/>
                  </xdr:cNvSpPr>
                </xdr:nvSpPr>
                <xdr:spPr bwMode="auto">
                  <a:xfrm>
                    <a:off x="897" y="2386"/>
                    <a:ext cx="407" cy="368"/>
                  </a:xfrm>
                  <a:custGeom>
                    <a:avLst/>
                    <a:gdLst>
                      <a:gd name="T0" fmla="*/ 0 w 407"/>
                      <a:gd name="T1" fmla="*/ 125 h 368"/>
                      <a:gd name="T2" fmla="*/ 1 w 407"/>
                      <a:gd name="T3" fmla="*/ 115 h 368"/>
                      <a:gd name="T4" fmla="*/ 5 w 407"/>
                      <a:gd name="T5" fmla="*/ 103 h 368"/>
                      <a:gd name="T6" fmla="*/ 9 w 407"/>
                      <a:gd name="T7" fmla="*/ 91 h 368"/>
                      <a:gd name="T8" fmla="*/ 15 w 407"/>
                      <a:gd name="T9" fmla="*/ 81 h 368"/>
                      <a:gd name="T10" fmla="*/ 21 w 407"/>
                      <a:gd name="T11" fmla="*/ 72 h 368"/>
                      <a:gd name="T12" fmla="*/ 28 w 407"/>
                      <a:gd name="T13" fmla="*/ 64 h 368"/>
                      <a:gd name="T14" fmla="*/ 36 w 407"/>
                      <a:gd name="T15" fmla="*/ 56 h 368"/>
                      <a:gd name="T16" fmla="*/ 47 w 407"/>
                      <a:gd name="T17" fmla="*/ 47 h 368"/>
                      <a:gd name="T18" fmla="*/ 60 w 407"/>
                      <a:gd name="T19" fmla="*/ 39 h 368"/>
                      <a:gd name="T20" fmla="*/ 76 w 407"/>
                      <a:gd name="T21" fmla="*/ 29 h 368"/>
                      <a:gd name="T22" fmla="*/ 92 w 407"/>
                      <a:gd name="T23" fmla="*/ 22 h 368"/>
                      <a:gd name="T24" fmla="*/ 111 w 407"/>
                      <a:gd name="T25" fmla="*/ 15 h 368"/>
                      <a:gd name="T26" fmla="*/ 128 w 407"/>
                      <a:gd name="T27" fmla="*/ 11 h 368"/>
                      <a:gd name="T28" fmla="*/ 149 w 407"/>
                      <a:gd name="T29" fmla="*/ 6 h 368"/>
                      <a:gd name="T30" fmla="*/ 167 w 407"/>
                      <a:gd name="T31" fmla="*/ 2 h 368"/>
                      <a:gd name="T32" fmla="*/ 182 w 407"/>
                      <a:gd name="T33" fmla="*/ 2 h 368"/>
                      <a:gd name="T34" fmla="*/ 198 w 407"/>
                      <a:gd name="T35" fmla="*/ 0 h 368"/>
                      <a:gd name="T36" fmla="*/ 217 w 407"/>
                      <a:gd name="T37" fmla="*/ 0 h 368"/>
                      <a:gd name="T38" fmla="*/ 231 w 407"/>
                      <a:gd name="T39" fmla="*/ 2 h 368"/>
                      <a:gd name="T40" fmla="*/ 245 w 407"/>
                      <a:gd name="T41" fmla="*/ 4 h 368"/>
                      <a:gd name="T42" fmla="*/ 262 w 407"/>
                      <a:gd name="T43" fmla="*/ 7 h 368"/>
                      <a:gd name="T44" fmla="*/ 277 w 407"/>
                      <a:gd name="T45" fmla="*/ 11 h 368"/>
                      <a:gd name="T46" fmla="*/ 292 w 407"/>
                      <a:gd name="T47" fmla="*/ 15 h 368"/>
                      <a:gd name="T48" fmla="*/ 306 w 407"/>
                      <a:gd name="T49" fmla="*/ 20 h 368"/>
                      <a:gd name="T50" fmla="*/ 322 w 407"/>
                      <a:gd name="T51" fmla="*/ 27 h 368"/>
                      <a:gd name="T52" fmla="*/ 332 w 407"/>
                      <a:gd name="T53" fmla="*/ 32 h 368"/>
                      <a:gd name="T54" fmla="*/ 341 w 407"/>
                      <a:gd name="T55" fmla="*/ 37 h 368"/>
                      <a:gd name="T56" fmla="*/ 350 w 407"/>
                      <a:gd name="T57" fmla="*/ 43 h 368"/>
                      <a:gd name="T58" fmla="*/ 360 w 407"/>
                      <a:gd name="T59" fmla="*/ 49 h 368"/>
                      <a:gd name="T60" fmla="*/ 368 w 407"/>
                      <a:gd name="T61" fmla="*/ 56 h 368"/>
                      <a:gd name="T62" fmla="*/ 378 w 407"/>
                      <a:gd name="T63" fmla="*/ 67 h 368"/>
                      <a:gd name="T64" fmla="*/ 385 w 407"/>
                      <a:gd name="T65" fmla="*/ 75 h 368"/>
                      <a:gd name="T66" fmla="*/ 391 w 407"/>
                      <a:gd name="T67" fmla="*/ 83 h 368"/>
                      <a:gd name="T68" fmla="*/ 395 w 407"/>
                      <a:gd name="T69" fmla="*/ 91 h 368"/>
                      <a:gd name="T70" fmla="*/ 400 w 407"/>
                      <a:gd name="T71" fmla="*/ 99 h 368"/>
                      <a:gd name="T72" fmla="*/ 404 w 407"/>
                      <a:gd name="T73" fmla="*/ 108 h 368"/>
                      <a:gd name="T74" fmla="*/ 406 w 407"/>
                      <a:gd name="T75" fmla="*/ 117 h 368"/>
                      <a:gd name="T76" fmla="*/ 406 w 407"/>
                      <a:gd name="T77" fmla="*/ 367 h 368"/>
                      <a:gd name="T78" fmla="*/ 1 w 407"/>
                      <a:gd name="T79" fmla="*/ 365 h 368"/>
                      <a:gd name="T80" fmla="*/ 0 w 407"/>
                      <a:gd name="T81" fmla="*/ 125 h 36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Lst>
                    <a:rect l="0" t="0" r="r" b="b"/>
                    <a:pathLst>
                      <a:path w="407" h="368">
                        <a:moveTo>
                          <a:pt x="0" y="125"/>
                        </a:moveTo>
                        <a:lnTo>
                          <a:pt x="1" y="115"/>
                        </a:lnTo>
                        <a:lnTo>
                          <a:pt x="5" y="103"/>
                        </a:lnTo>
                        <a:lnTo>
                          <a:pt x="9" y="91"/>
                        </a:lnTo>
                        <a:lnTo>
                          <a:pt x="15" y="81"/>
                        </a:lnTo>
                        <a:lnTo>
                          <a:pt x="21" y="72"/>
                        </a:lnTo>
                        <a:lnTo>
                          <a:pt x="28" y="64"/>
                        </a:lnTo>
                        <a:lnTo>
                          <a:pt x="36" y="56"/>
                        </a:lnTo>
                        <a:lnTo>
                          <a:pt x="47" y="47"/>
                        </a:lnTo>
                        <a:lnTo>
                          <a:pt x="60" y="39"/>
                        </a:lnTo>
                        <a:lnTo>
                          <a:pt x="76" y="29"/>
                        </a:lnTo>
                        <a:lnTo>
                          <a:pt x="92" y="22"/>
                        </a:lnTo>
                        <a:lnTo>
                          <a:pt x="111" y="15"/>
                        </a:lnTo>
                        <a:lnTo>
                          <a:pt x="128" y="11"/>
                        </a:lnTo>
                        <a:lnTo>
                          <a:pt x="149" y="6"/>
                        </a:lnTo>
                        <a:lnTo>
                          <a:pt x="167" y="2"/>
                        </a:lnTo>
                        <a:lnTo>
                          <a:pt x="182" y="2"/>
                        </a:lnTo>
                        <a:lnTo>
                          <a:pt x="198" y="0"/>
                        </a:lnTo>
                        <a:lnTo>
                          <a:pt x="217" y="0"/>
                        </a:lnTo>
                        <a:lnTo>
                          <a:pt x="231" y="2"/>
                        </a:lnTo>
                        <a:lnTo>
                          <a:pt x="245" y="4"/>
                        </a:lnTo>
                        <a:lnTo>
                          <a:pt x="262" y="7"/>
                        </a:lnTo>
                        <a:lnTo>
                          <a:pt x="277" y="11"/>
                        </a:lnTo>
                        <a:lnTo>
                          <a:pt x="292" y="15"/>
                        </a:lnTo>
                        <a:lnTo>
                          <a:pt x="306" y="20"/>
                        </a:lnTo>
                        <a:lnTo>
                          <a:pt x="322" y="27"/>
                        </a:lnTo>
                        <a:lnTo>
                          <a:pt x="332" y="32"/>
                        </a:lnTo>
                        <a:lnTo>
                          <a:pt x="341" y="37"/>
                        </a:lnTo>
                        <a:lnTo>
                          <a:pt x="350" y="43"/>
                        </a:lnTo>
                        <a:lnTo>
                          <a:pt x="360" y="49"/>
                        </a:lnTo>
                        <a:lnTo>
                          <a:pt x="368" y="56"/>
                        </a:lnTo>
                        <a:lnTo>
                          <a:pt x="378" y="67"/>
                        </a:lnTo>
                        <a:lnTo>
                          <a:pt x="385" y="75"/>
                        </a:lnTo>
                        <a:lnTo>
                          <a:pt x="391" y="83"/>
                        </a:lnTo>
                        <a:lnTo>
                          <a:pt x="395" y="91"/>
                        </a:lnTo>
                        <a:lnTo>
                          <a:pt x="400" y="99"/>
                        </a:lnTo>
                        <a:lnTo>
                          <a:pt x="404" y="108"/>
                        </a:lnTo>
                        <a:lnTo>
                          <a:pt x="406" y="117"/>
                        </a:lnTo>
                        <a:lnTo>
                          <a:pt x="406" y="367"/>
                        </a:lnTo>
                        <a:lnTo>
                          <a:pt x="1" y="365"/>
                        </a:lnTo>
                        <a:lnTo>
                          <a:pt x="0" y="125"/>
                        </a:lnTo>
                      </a:path>
                    </a:pathLst>
                  </a:custGeom>
                  <a:solidFill>
                    <a:srgbClr val="E07000"/>
                  </a:solidFill>
                  <a:ln>
                    <a:noFill/>
                  </a:ln>
                  <a:effectLst/>
                  <a:extLst>
                    <a:ext uri="{91240B29-F687-4F45-9708-019B960494DF}">
                      <a14:hiddenLine xmlns:a14="http://schemas.microsoft.com/office/drawing/2010/main" w="9525" cap="rnd">
                        <a:solidFill>
                          <a:schemeClr val="tx1"/>
                        </a:solidFill>
                        <a:round/>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50" name="Oval 49">
                    <a:extLst>
                      <a:ext uri="{FF2B5EF4-FFF2-40B4-BE49-F238E27FC236}">
                        <a16:creationId xmlns:a16="http://schemas.microsoft.com/office/drawing/2014/main" id="{00000000-0008-0000-1300-000032000000}"/>
                      </a:ext>
                    </a:extLst>
                  </xdr:cNvPr>
                  <xdr:cNvSpPr>
                    <a:spLocks noChangeArrowheads="1"/>
                  </xdr:cNvSpPr>
                </xdr:nvSpPr>
                <xdr:spPr bwMode="auto">
                  <a:xfrm>
                    <a:off x="925" y="2403"/>
                    <a:ext cx="344" cy="344"/>
                  </a:xfrm>
                  <a:prstGeom prst="ellipse">
                    <a:avLst/>
                  </a:prstGeom>
                  <a:solidFill>
                    <a:srgbClr val="FF4040"/>
                  </a:solidFill>
                  <a:ln w="12700">
                    <a:solidFill>
                      <a:srgbClr val="000000"/>
                    </a:solidFill>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nvGrpSpPr>
                  <xdr:cNvPr id="51" name="Group 50">
                    <a:extLst>
                      <a:ext uri="{FF2B5EF4-FFF2-40B4-BE49-F238E27FC236}">
                        <a16:creationId xmlns:a16="http://schemas.microsoft.com/office/drawing/2014/main" id="{00000000-0008-0000-1300-000033000000}"/>
                      </a:ext>
                    </a:extLst>
                  </xdr:cNvPr>
                  <xdr:cNvGrpSpPr>
                    <a:grpSpLocks/>
                  </xdr:cNvGrpSpPr>
                </xdr:nvGrpSpPr>
                <xdr:grpSpPr bwMode="auto">
                  <a:xfrm>
                    <a:off x="1125" y="2437"/>
                    <a:ext cx="54" cy="48"/>
                    <a:chOff x="1125" y="2437"/>
                    <a:chExt cx="54" cy="48"/>
                  </a:xfrm>
                </xdr:grpSpPr>
                <xdr:sp macro="" textlink="">
                  <xdr:nvSpPr>
                    <xdr:cNvPr id="52" name="Oval 51">
                      <a:extLst>
                        <a:ext uri="{FF2B5EF4-FFF2-40B4-BE49-F238E27FC236}">
                          <a16:creationId xmlns:a16="http://schemas.microsoft.com/office/drawing/2014/main" id="{00000000-0008-0000-1300-000034000000}"/>
                        </a:ext>
                      </a:extLst>
                    </xdr:cNvPr>
                    <xdr:cNvSpPr>
                      <a:spLocks noChangeArrowheads="1"/>
                    </xdr:cNvSpPr>
                  </xdr:nvSpPr>
                  <xdr:spPr bwMode="auto">
                    <a:xfrm>
                      <a:off x="1125" y="2437"/>
                      <a:ext cx="31" cy="31"/>
                    </a:xfrm>
                    <a:prstGeom prst="ellipse">
                      <a:avLst/>
                    </a:prstGeom>
                    <a:solidFill>
                      <a:srgbClr val="FFC0C0"/>
                    </a:solidFill>
                    <a:ln>
                      <a:noFill/>
                    </a:ln>
                    <a:effectLst/>
                    <a:extLst>
                      <a:ext uri="{91240B29-F687-4F45-9708-019B960494DF}">
                        <a14:hiddenLine xmlns:a14="http://schemas.microsoft.com/office/drawing/2010/main" w="9525">
                          <a:solidFill>
                            <a:schemeClr val="tx1"/>
                          </a:solidFill>
                          <a:round/>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53" name="Oval 52">
                      <a:extLst>
                        <a:ext uri="{FF2B5EF4-FFF2-40B4-BE49-F238E27FC236}">
                          <a16:creationId xmlns:a16="http://schemas.microsoft.com/office/drawing/2014/main" id="{00000000-0008-0000-1300-000035000000}"/>
                        </a:ext>
                      </a:extLst>
                    </xdr:cNvPr>
                    <xdr:cNvSpPr>
                      <a:spLocks noChangeArrowheads="1"/>
                    </xdr:cNvSpPr>
                  </xdr:nvSpPr>
                  <xdr:spPr bwMode="auto">
                    <a:xfrm>
                      <a:off x="1156" y="2462"/>
                      <a:ext cx="23" cy="23"/>
                    </a:xfrm>
                    <a:prstGeom prst="ellipse">
                      <a:avLst/>
                    </a:prstGeom>
                    <a:solidFill>
                      <a:srgbClr val="FFC0C0"/>
                    </a:solidFill>
                    <a:ln>
                      <a:noFill/>
                    </a:ln>
                    <a:effectLst/>
                    <a:extLst>
                      <a:ext uri="{91240B29-F687-4F45-9708-019B960494DF}">
                        <a14:hiddenLine xmlns:a14="http://schemas.microsoft.com/office/drawing/2010/main" w="9525">
                          <a:solidFill>
                            <a:schemeClr val="tx1"/>
                          </a:solidFill>
                          <a:round/>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grpSp>
          </xdr:grpSp>
          <xdr:grpSp>
            <xdr:nvGrpSpPr>
              <xdr:cNvPr id="31" name="Group 30">
                <a:extLst>
                  <a:ext uri="{FF2B5EF4-FFF2-40B4-BE49-F238E27FC236}">
                    <a16:creationId xmlns:a16="http://schemas.microsoft.com/office/drawing/2014/main" id="{00000000-0008-0000-1300-00001F000000}"/>
                  </a:ext>
                </a:extLst>
              </xdr:cNvPr>
              <xdr:cNvGrpSpPr>
                <a:grpSpLocks/>
              </xdr:cNvGrpSpPr>
            </xdr:nvGrpSpPr>
            <xdr:grpSpPr bwMode="auto">
              <a:xfrm>
                <a:off x="886" y="2842"/>
                <a:ext cx="408" cy="384"/>
                <a:chOff x="886" y="2842"/>
                <a:chExt cx="408" cy="384"/>
              </a:xfrm>
            </xdr:grpSpPr>
            <xdr:sp macro="" textlink="">
              <xdr:nvSpPr>
                <xdr:cNvPr id="40" name="Freeform 40">
                  <a:extLst>
                    <a:ext uri="{FF2B5EF4-FFF2-40B4-BE49-F238E27FC236}">
                      <a16:creationId xmlns:a16="http://schemas.microsoft.com/office/drawing/2014/main" id="{00000000-0008-0000-1300-000028000000}"/>
                    </a:ext>
                  </a:extLst>
                </xdr:cNvPr>
                <xdr:cNvSpPr>
                  <a:spLocks/>
                </xdr:cNvSpPr>
              </xdr:nvSpPr>
              <xdr:spPr bwMode="auto">
                <a:xfrm>
                  <a:off x="886" y="2842"/>
                  <a:ext cx="407" cy="367"/>
                </a:xfrm>
                <a:custGeom>
                  <a:avLst/>
                  <a:gdLst>
                    <a:gd name="T0" fmla="*/ 0 w 407"/>
                    <a:gd name="T1" fmla="*/ 126 h 367"/>
                    <a:gd name="T2" fmla="*/ 1 w 407"/>
                    <a:gd name="T3" fmla="*/ 115 h 367"/>
                    <a:gd name="T4" fmla="*/ 5 w 407"/>
                    <a:gd name="T5" fmla="*/ 102 h 367"/>
                    <a:gd name="T6" fmla="*/ 9 w 407"/>
                    <a:gd name="T7" fmla="*/ 91 h 367"/>
                    <a:gd name="T8" fmla="*/ 15 w 407"/>
                    <a:gd name="T9" fmla="*/ 81 h 367"/>
                    <a:gd name="T10" fmla="*/ 21 w 407"/>
                    <a:gd name="T11" fmla="*/ 72 h 367"/>
                    <a:gd name="T12" fmla="*/ 28 w 407"/>
                    <a:gd name="T13" fmla="*/ 64 h 367"/>
                    <a:gd name="T14" fmla="*/ 36 w 407"/>
                    <a:gd name="T15" fmla="*/ 56 h 367"/>
                    <a:gd name="T16" fmla="*/ 47 w 407"/>
                    <a:gd name="T17" fmla="*/ 47 h 367"/>
                    <a:gd name="T18" fmla="*/ 60 w 407"/>
                    <a:gd name="T19" fmla="*/ 39 h 367"/>
                    <a:gd name="T20" fmla="*/ 76 w 407"/>
                    <a:gd name="T21" fmla="*/ 29 h 367"/>
                    <a:gd name="T22" fmla="*/ 92 w 407"/>
                    <a:gd name="T23" fmla="*/ 22 h 367"/>
                    <a:gd name="T24" fmla="*/ 110 w 407"/>
                    <a:gd name="T25" fmla="*/ 15 h 367"/>
                    <a:gd name="T26" fmla="*/ 129 w 407"/>
                    <a:gd name="T27" fmla="*/ 9 h 367"/>
                    <a:gd name="T28" fmla="*/ 149 w 407"/>
                    <a:gd name="T29" fmla="*/ 6 h 367"/>
                    <a:gd name="T30" fmla="*/ 167 w 407"/>
                    <a:gd name="T31" fmla="*/ 2 h 367"/>
                    <a:gd name="T32" fmla="*/ 182 w 407"/>
                    <a:gd name="T33" fmla="*/ 1 h 367"/>
                    <a:gd name="T34" fmla="*/ 198 w 407"/>
                    <a:gd name="T35" fmla="*/ 0 h 367"/>
                    <a:gd name="T36" fmla="*/ 217 w 407"/>
                    <a:gd name="T37" fmla="*/ 0 h 367"/>
                    <a:gd name="T38" fmla="*/ 231 w 407"/>
                    <a:gd name="T39" fmla="*/ 1 h 367"/>
                    <a:gd name="T40" fmla="*/ 245 w 407"/>
                    <a:gd name="T41" fmla="*/ 4 h 367"/>
                    <a:gd name="T42" fmla="*/ 262 w 407"/>
                    <a:gd name="T43" fmla="*/ 7 h 367"/>
                    <a:gd name="T44" fmla="*/ 277 w 407"/>
                    <a:gd name="T45" fmla="*/ 9 h 367"/>
                    <a:gd name="T46" fmla="*/ 292 w 407"/>
                    <a:gd name="T47" fmla="*/ 15 h 367"/>
                    <a:gd name="T48" fmla="*/ 306 w 407"/>
                    <a:gd name="T49" fmla="*/ 20 h 367"/>
                    <a:gd name="T50" fmla="*/ 322 w 407"/>
                    <a:gd name="T51" fmla="*/ 26 h 367"/>
                    <a:gd name="T52" fmla="*/ 332 w 407"/>
                    <a:gd name="T53" fmla="*/ 32 h 367"/>
                    <a:gd name="T54" fmla="*/ 340 w 407"/>
                    <a:gd name="T55" fmla="*/ 36 h 367"/>
                    <a:gd name="T56" fmla="*/ 350 w 407"/>
                    <a:gd name="T57" fmla="*/ 42 h 367"/>
                    <a:gd name="T58" fmla="*/ 360 w 407"/>
                    <a:gd name="T59" fmla="*/ 49 h 367"/>
                    <a:gd name="T60" fmla="*/ 368 w 407"/>
                    <a:gd name="T61" fmla="*/ 56 h 367"/>
                    <a:gd name="T62" fmla="*/ 378 w 407"/>
                    <a:gd name="T63" fmla="*/ 67 h 367"/>
                    <a:gd name="T64" fmla="*/ 385 w 407"/>
                    <a:gd name="T65" fmla="*/ 75 h 367"/>
                    <a:gd name="T66" fmla="*/ 391 w 407"/>
                    <a:gd name="T67" fmla="*/ 83 h 367"/>
                    <a:gd name="T68" fmla="*/ 395 w 407"/>
                    <a:gd name="T69" fmla="*/ 91 h 367"/>
                    <a:gd name="T70" fmla="*/ 400 w 407"/>
                    <a:gd name="T71" fmla="*/ 99 h 367"/>
                    <a:gd name="T72" fmla="*/ 404 w 407"/>
                    <a:gd name="T73" fmla="*/ 108 h 367"/>
                    <a:gd name="T74" fmla="*/ 406 w 407"/>
                    <a:gd name="T75" fmla="*/ 118 h 367"/>
                    <a:gd name="T76" fmla="*/ 406 w 407"/>
                    <a:gd name="T77" fmla="*/ 366 h 367"/>
                    <a:gd name="T78" fmla="*/ 1 w 407"/>
                    <a:gd name="T79" fmla="*/ 365 h 367"/>
                    <a:gd name="T80" fmla="*/ 0 w 407"/>
                    <a:gd name="T81" fmla="*/ 126 h 36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Lst>
                  <a:rect l="0" t="0" r="r" b="b"/>
                  <a:pathLst>
                    <a:path w="407" h="367">
                      <a:moveTo>
                        <a:pt x="0" y="126"/>
                      </a:moveTo>
                      <a:lnTo>
                        <a:pt x="1" y="115"/>
                      </a:lnTo>
                      <a:lnTo>
                        <a:pt x="5" y="102"/>
                      </a:lnTo>
                      <a:lnTo>
                        <a:pt x="9" y="91"/>
                      </a:lnTo>
                      <a:lnTo>
                        <a:pt x="15" y="81"/>
                      </a:lnTo>
                      <a:lnTo>
                        <a:pt x="21" y="72"/>
                      </a:lnTo>
                      <a:lnTo>
                        <a:pt x="28" y="64"/>
                      </a:lnTo>
                      <a:lnTo>
                        <a:pt x="36" y="56"/>
                      </a:lnTo>
                      <a:lnTo>
                        <a:pt x="47" y="47"/>
                      </a:lnTo>
                      <a:lnTo>
                        <a:pt x="60" y="39"/>
                      </a:lnTo>
                      <a:lnTo>
                        <a:pt x="76" y="29"/>
                      </a:lnTo>
                      <a:lnTo>
                        <a:pt x="92" y="22"/>
                      </a:lnTo>
                      <a:lnTo>
                        <a:pt x="110" y="15"/>
                      </a:lnTo>
                      <a:lnTo>
                        <a:pt x="129" y="9"/>
                      </a:lnTo>
                      <a:lnTo>
                        <a:pt x="149" y="6"/>
                      </a:lnTo>
                      <a:lnTo>
                        <a:pt x="167" y="2"/>
                      </a:lnTo>
                      <a:lnTo>
                        <a:pt x="182" y="1"/>
                      </a:lnTo>
                      <a:lnTo>
                        <a:pt x="198" y="0"/>
                      </a:lnTo>
                      <a:lnTo>
                        <a:pt x="217" y="0"/>
                      </a:lnTo>
                      <a:lnTo>
                        <a:pt x="231" y="1"/>
                      </a:lnTo>
                      <a:lnTo>
                        <a:pt x="245" y="4"/>
                      </a:lnTo>
                      <a:lnTo>
                        <a:pt x="262" y="7"/>
                      </a:lnTo>
                      <a:lnTo>
                        <a:pt x="277" y="9"/>
                      </a:lnTo>
                      <a:lnTo>
                        <a:pt x="292" y="15"/>
                      </a:lnTo>
                      <a:lnTo>
                        <a:pt x="306" y="20"/>
                      </a:lnTo>
                      <a:lnTo>
                        <a:pt x="322" y="26"/>
                      </a:lnTo>
                      <a:lnTo>
                        <a:pt x="332" y="32"/>
                      </a:lnTo>
                      <a:lnTo>
                        <a:pt x="340" y="36"/>
                      </a:lnTo>
                      <a:lnTo>
                        <a:pt x="350" y="42"/>
                      </a:lnTo>
                      <a:lnTo>
                        <a:pt x="360" y="49"/>
                      </a:lnTo>
                      <a:lnTo>
                        <a:pt x="368" y="56"/>
                      </a:lnTo>
                      <a:lnTo>
                        <a:pt x="378" y="67"/>
                      </a:lnTo>
                      <a:lnTo>
                        <a:pt x="385" y="75"/>
                      </a:lnTo>
                      <a:lnTo>
                        <a:pt x="391" y="83"/>
                      </a:lnTo>
                      <a:lnTo>
                        <a:pt x="395" y="91"/>
                      </a:lnTo>
                      <a:lnTo>
                        <a:pt x="400" y="99"/>
                      </a:lnTo>
                      <a:lnTo>
                        <a:pt x="404" y="108"/>
                      </a:lnTo>
                      <a:lnTo>
                        <a:pt x="406" y="118"/>
                      </a:lnTo>
                      <a:lnTo>
                        <a:pt x="406" y="366"/>
                      </a:lnTo>
                      <a:lnTo>
                        <a:pt x="1" y="365"/>
                      </a:lnTo>
                      <a:lnTo>
                        <a:pt x="0" y="126"/>
                      </a:lnTo>
                    </a:path>
                  </a:pathLst>
                </a:custGeom>
                <a:solidFill>
                  <a:srgbClr val="FFA040"/>
                </a:solidFill>
                <a:ln>
                  <a:noFill/>
                </a:ln>
                <a:effectLst/>
                <a:extLst>
                  <a:ext uri="{91240B29-F687-4F45-9708-019B960494DF}">
                    <a14:hiddenLine xmlns:a14="http://schemas.microsoft.com/office/drawing/2010/main" w="9525" cap="rnd">
                      <a:solidFill>
                        <a:schemeClr val="tx1"/>
                      </a:solidFill>
                      <a:round/>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nvGrpSpPr>
                <xdr:cNvPr id="41" name="Group 40">
                  <a:extLst>
                    <a:ext uri="{FF2B5EF4-FFF2-40B4-BE49-F238E27FC236}">
                      <a16:creationId xmlns:a16="http://schemas.microsoft.com/office/drawing/2014/main" id="{00000000-0008-0000-1300-000029000000}"/>
                    </a:ext>
                  </a:extLst>
                </xdr:cNvPr>
                <xdr:cNvGrpSpPr>
                  <a:grpSpLocks/>
                </xdr:cNvGrpSpPr>
              </xdr:nvGrpSpPr>
              <xdr:grpSpPr bwMode="auto">
                <a:xfrm>
                  <a:off x="888" y="2858"/>
                  <a:ext cx="406" cy="368"/>
                  <a:chOff x="888" y="2858"/>
                  <a:chExt cx="406" cy="368"/>
                </a:xfrm>
              </xdr:grpSpPr>
              <xdr:sp macro="" textlink="">
                <xdr:nvSpPr>
                  <xdr:cNvPr id="42" name="Freeform 41">
                    <a:extLst>
                      <a:ext uri="{FF2B5EF4-FFF2-40B4-BE49-F238E27FC236}">
                        <a16:creationId xmlns:a16="http://schemas.microsoft.com/office/drawing/2014/main" id="{00000000-0008-0000-1300-00002A000000}"/>
                      </a:ext>
                    </a:extLst>
                  </xdr:cNvPr>
                  <xdr:cNvSpPr>
                    <a:spLocks/>
                  </xdr:cNvSpPr>
                </xdr:nvSpPr>
                <xdr:spPr bwMode="auto">
                  <a:xfrm>
                    <a:off x="888" y="2858"/>
                    <a:ext cx="406" cy="368"/>
                  </a:xfrm>
                  <a:custGeom>
                    <a:avLst/>
                    <a:gdLst>
                      <a:gd name="T0" fmla="*/ 0 w 406"/>
                      <a:gd name="T1" fmla="*/ 126 h 368"/>
                      <a:gd name="T2" fmla="*/ 0 w 406"/>
                      <a:gd name="T3" fmla="*/ 115 h 368"/>
                      <a:gd name="T4" fmla="*/ 4 w 406"/>
                      <a:gd name="T5" fmla="*/ 103 h 368"/>
                      <a:gd name="T6" fmla="*/ 8 w 406"/>
                      <a:gd name="T7" fmla="*/ 92 h 368"/>
                      <a:gd name="T8" fmla="*/ 15 w 406"/>
                      <a:gd name="T9" fmla="*/ 82 h 368"/>
                      <a:gd name="T10" fmla="*/ 21 w 406"/>
                      <a:gd name="T11" fmla="*/ 74 h 368"/>
                      <a:gd name="T12" fmla="*/ 28 w 406"/>
                      <a:gd name="T13" fmla="*/ 65 h 368"/>
                      <a:gd name="T14" fmla="*/ 36 w 406"/>
                      <a:gd name="T15" fmla="*/ 56 h 368"/>
                      <a:gd name="T16" fmla="*/ 47 w 406"/>
                      <a:gd name="T17" fmla="*/ 47 h 368"/>
                      <a:gd name="T18" fmla="*/ 60 w 406"/>
                      <a:gd name="T19" fmla="*/ 39 h 368"/>
                      <a:gd name="T20" fmla="*/ 76 w 406"/>
                      <a:gd name="T21" fmla="*/ 29 h 368"/>
                      <a:gd name="T22" fmla="*/ 91 w 406"/>
                      <a:gd name="T23" fmla="*/ 22 h 368"/>
                      <a:gd name="T24" fmla="*/ 110 w 406"/>
                      <a:gd name="T25" fmla="*/ 16 h 368"/>
                      <a:gd name="T26" fmla="*/ 129 w 406"/>
                      <a:gd name="T27" fmla="*/ 11 h 368"/>
                      <a:gd name="T28" fmla="*/ 147 w 406"/>
                      <a:gd name="T29" fmla="*/ 6 h 368"/>
                      <a:gd name="T30" fmla="*/ 166 w 406"/>
                      <a:gd name="T31" fmla="*/ 2 h 368"/>
                      <a:gd name="T32" fmla="*/ 180 w 406"/>
                      <a:gd name="T33" fmla="*/ 2 h 368"/>
                      <a:gd name="T34" fmla="*/ 198 w 406"/>
                      <a:gd name="T35" fmla="*/ 0 h 368"/>
                      <a:gd name="T36" fmla="*/ 215 w 406"/>
                      <a:gd name="T37" fmla="*/ 0 h 368"/>
                      <a:gd name="T38" fmla="*/ 229 w 406"/>
                      <a:gd name="T39" fmla="*/ 2 h 368"/>
                      <a:gd name="T40" fmla="*/ 245 w 406"/>
                      <a:gd name="T41" fmla="*/ 4 h 368"/>
                      <a:gd name="T42" fmla="*/ 261 w 406"/>
                      <a:gd name="T43" fmla="*/ 7 h 368"/>
                      <a:gd name="T44" fmla="*/ 276 w 406"/>
                      <a:gd name="T45" fmla="*/ 11 h 368"/>
                      <a:gd name="T46" fmla="*/ 291 w 406"/>
                      <a:gd name="T47" fmla="*/ 15 h 368"/>
                      <a:gd name="T48" fmla="*/ 306 w 406"/>
                      <a:gd name="T49" fmla="*/ 20 h 368"/>
                      <a:gd name="T50" fmla="*/ 320 w 406"/>
                      <a:gd name="T51" fmla="*/ 27 h 368"/>
                      <a:gd name="T52" fmla="*/ 330 w 406"/>
                      <a:gd name="T53" fmla="*/ 32 h 368"/>
                      <a:gd name="T54" fmla="*/ 339 w 406"/>
                      <a:gd name="T55" fmla="*/ 37 h 368"/>
                      <a:gd name="T56" fmla="*/ 349 w 406"/>
                      <a:gd name="T57" fmla="*/ 43 h 368"/>
                      <a:gd name="T58" fmla="*/ 358 w 406"/>
                      <a:gd name="T59" fmla="*/ 49 h 368"/>
                      <a:gd name="T60" fmla="*/ 368 w 406"/>
                      <a:gd name="T61" fmla="*/ 57 h 368"/>
                      <a:gd name="T62" fmla="*/ 377 w 406"/>
                      <a:gd name="T63" fmla="*/ 67 h 368"/>
                      <a:gd name="T64" fmla="*/ 384 w 406"/>
                      <a:gd name="T65" fmla="*/ 76 h 368"/>
                      <a:gd name="T66" fmla="*/ 390 w 406"/>
                      <a:gd name="T67" fmla="*/ 84 h 368"/>
                      <a:gd name="T68" fmla="*/ 394 w 406"/>
                      <a:gd name="T69" fmla="*/ 91 h 368"/>
                      <a:gd name="T70" fmla="*/ 398 w 406"/>
                      <a:gd name="T71" fmla="*/ 99 h 368"/>
                      <a:gd name="T72" fmla="*/ 401 w 406"/>
                      <a:gd name="T73" fmla="*/ 108 h 368"/>
                      <a:gd name="T74" fmla="*/ 405 w 406"/>
                      <a:gd name="T75" fmla="*/ 118 h 368"/>
                      <a:gd name="T76" fmla="*/ 405 w 406"/>
                      <a:gd name="T77" fmla="*/ 367 h 368"/>
                      <a:gd name="T78" fmla="*/ 0 w 406"/>
                      <a:gd name="T79" fmla="*/ 365 h 368"/>
                      <a:gd name="T80" fmla="*/ 0 w 406"/>
                      <a:gd name="T81" fmla="*/ 126 h 36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Lst>
                    <a:rect l="0" t="0" r="r" b="b"/>
                    <a:pathLst>
                      <a:path w="406" h="368">
                        <a:moveTo>
                          <a:pt x="0" y="126"/>
                        </a:moveTo>
                        <a:lnTo>
                          <a:pt x="0" y="115"/>
                        </a:lnTo>
                        <a:lnTo>
                          <a:pt x="4" y="103"/>
                        </a:lnTo>
                        <a:lnTo>
                          <a:pt x="8" y="92"/>
                        </a:lnTo>
                        <a:lnTo>
                          <a:pt x="15" y="82"/>
                        </a:lnTo>
                        <a:lnTo>
                          <a:pt x="21" y="74"/>
                        </a:lnTo>
                        <a:lnTo>
                          <a:pt x="28" y="65"/>
                        </a:lnTo>
                        <a:lnTo>
                          <a:pt x="36" y="56"/>
                        </a:lnTo>
                        <a:lnTo>
                          <a:pt x="47" y="47"/>
                        </a:lnTo>
                        <a:lnTo>
                          <a:pt x="60" y="39"/>
                        </a:lnTo>
                        <a:lnTo>
                          <a:pt x="76" y="29"/>
                        </a:lnTo>
                        <a:lnTo>
                          <a:pt x="91" y="22"/>
                        </a:lnTo>
                        <a:lnTo>
                          <a:pt x="110" y="16"/>
                        </a:lnTo>
                        <a:lnTo>
                          <a:pt x="129" y="11"/>
                        </a:lnTo>
                        <a:lnTo>
                          <a:pt x="147" y="6"/>
                        </a:lnTo>
                        <a:lnTo>
                          <a:pt x="166" y="2"/>
                        </a:lnTo>
                        <a:lnTo>
                          <a:pt x="180" y="2"/>
                        </a:lnTo>
                        <a:lnTo>
                          <a:pt x="198" y="0"/>
                        </a:lnTo>
                        <a:lnTo>
                          <a:pt x="215" y="0"/>
                        </a:lnTo>
                        <a:lnTo>
                          <a:pt x="229" y="2"/>
                        </a:lnTo>
                        <a:lnTo>
                          <a:pt x="245" y="4"/>
                        </a:lnTo>
                        <a:lnTo>
                          <a:pt x="261" y="7"/>
                        </a:lnTo>
                        <a:lnTo>
                          <a:pt x="276" y="11"/>
                        </a:lnTo>
                        <a:lnTo>
                          <a:pt x="291" y="15"/>
                        </a:lnTo>
                        <a:lnTo>
                          <a:pt x="306" y="20"/>
                        </a:lnTo>
                        <a:lnTo>
                          <a:pt x="320" y="27"/>
                        </a:lnTo>
                        <a:lnTo>
                          <a:pt x="330" y="32"/>
                        </a:lnTo>
                        <a:lnTo>
                          <a:pt x="339" y="37"/>
                        </a:lnTo>
                        <a:lnTo>
                          <a:pt x="349" y="43"/>
                        </a:lnTo>
                        <a:lnTo>
                          <a:pt x="358" y="49"/>
                        </a:lnTo>
                        <a:lnTo>
                          <a:pt x="368" y="57"/>
                        </a:lnTo>
                        <a:lnTo>
                          <a:pt x="377" y="67"/>
                        </a:lnTo>
                        <a:lnTo>
                          <a:pt x="384" y="76"/>
                        </a:lnTo>
                        <a:lnTo>
                          <a:pt x="390" y="84"/>
                        </a:lnTo>
                        <a:lnTo>
                          <a:pt x="394" y="91"/>
                        </a:lnTo>
                        <a:lnTo>
                          <a:pt x="398" y="99"/>
                        </a:lnTo>
                        <a:lnTo>
                          <a:pt x="401" y="108"/>
                        </a:lnTo>
                        <a:lnTo>
                          <a:pt x="405" y="118"/>
                        </a:lnTo>
                        <a:lnTo>
                          <a:pt x="405" y="367"/>
                        </a:lnTo>
                        <a:lnTo>
                          <a:pt x="0" y="365"/>
                        </a:lnTo>
                        <a:lnTo>
                          <a:pt x="0" y="126"/>
                        </a:lnTo>
                      </a:path>
                    </a:pathLst>
                  </a:custGeom>
                  <a:solidFill>
                    <a:srgbClr val="E07000"/>
                  </a:solidFill>
                  <a:ln>
                    <a:noFill/>
                  </a:ln>
                  <a:effectLst/>
                  <a:extLst>
                    <a:ext uri="{91240B29-F687-4F45-9708-019B960494DF}">
                      <a14:hiddenLine xmlns:a14="http://schemas.microsoft.com/office/drawing/2010/main" w="9525" cap="rnd">
                        <a:solidFill>
                          <a:schemeClr val="tx1"/>
                        </a:solidFill>
                        <a:round/>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43" name="Oval 42">
                    <a:extLst>
                      <a:ext uri="{FF2B5EF4-FFF2-40B4-BE49-F238E27FC236}">
                        <a16:creationId xmlns:a16="http://schemas.microsoft.com/office/drawing/2014/main" id="{00000000-0008-0000-1300-00002B000000}"/>
                      </a:ext>
                    </a:extLst>
                  </xdr:cNvPr>
                  <xdr:cNvSpPr>
                    <a:spLocks noChangeArrowheads="1"/>
                  </xdr:cNvSpPr>
                </xdr:nvSpPr>
                <xdr:spPr bwMode="auto">
                  <a:xfrm>
                    <a:off x="916" y="2875"/>
                    <a:ext cx="343" cy="344"/>
                  </a:xfrm>
                  <a:prstGeom prst="ellipse">
                    <a:avLst/>
                  </a:prstGeom>
                  <a:solidFill>
                    <a:srgbClr val="E0E000"/>
                  </a:solidFill>
                  <a:ln w="12700">
                    <a:solidFill>
                      <a:srgbClr val="000000"/>
                    </a:solidFill>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nvGrpSpPr>
                  <xdr:cNvPr id="44" name="Group 43">
                    <a:extLst>
                      <a:ext uri="{FF2B5EF4-FFF2-40B4-BE49-F238E27FC236}">
                        <a16:creationId xmlns:a16="http://schemas.microsoft.com/office/drawing/2014/main" id="{00000000-0008-0000-1300-00002C000000}"/>
                      </a:ext>
                    </a:extLst>
                  </xdr:cNvPr>
                  <xdr:cNvGrpSpPr>
                    <a:grpSpLocks/>
                  </xdr:cNvGrpSpPr>
                </xdr:nvGrpSpPr>
                <xdr:grpSpPr bwMode="auto">
                  <a:xfrm>
                    <a:off x="1114" y="2908"/>
                    <a:ext cx="56" cy="49"/>
                    <a:chOff x="1114" y="2908"/>
                    <a:chExt cx="56" cy="49"/>
                  </a:xfrm>
                </xdr:grpSpPr>
                <xdr:sp macro="" textlink="">
                  <xdr:nvSpPr>
                    <xdr:cNvPr id="45" name="Oval 44">
                      <a:extLst>
                        <a:ext uri="{FF2B5EF4-FFF2-40B4-BE49-F238E27FC236}">
                          <a16:creationId xmlns:a16="http://schemas.microsoft.com/office/drawing/2014/main" id="{00000000-0008-0000-1300-00002D000000}"/>
                        </a:ext>
                      </a:extLst>
                    </xdr:cNvPr>
                    <xdr:cNvSpPr>
                      <a:spLocks noChangeArrowheads="1"/>
                    </xdr:cNvSpPr>
                  </xdr:nvSpPr>
                  <xdr:spPr bwMode="auto">
                    <a:xfrm>
                      <a:off x="1114" y="2908"/>
                      <a:ext cx="33" cy="33"/>
                    </a:xfrm>
                    <a:prstGeom prst="ellipse">
                      <a:avLst/>
                    </a:prstGeom>
                    <a:solidFill>
                      <a:srgbClr val="FFFFC0"/>
                    </a:solidFill>
                    <a:ln>
                      <a:noFill/>
                    </a:ln>
                    <a:effectLst/>
                    <a:extLst>
                      <a:ext uri="{91240B29-F687-4F45-9708-019B960494DF}">
                        <a14:hiddenLine xmlns:a14="http://schemas.microsoft.com/office/drawing/2010/main" w="9525">
                          <a:solidFill>
                            <a:schemeClr val="tx1"/>
                          </a:solidFill>
                          <a:round/>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46" name="Oval 45">
                      <a:extLst>
                        <a:ext uri="{FF2B5EF4-FFF2-40B4-BE49-F238E27FC236}">
                          <a16:creationId xmlns:a16="http://schemas.microsoft.com/office/drawing/2014/main" id="{00000000-0008-0000-1300-00002E000000}"/>
                        </a:ext>
                      </a:extLst>
                    </xdr:cNvPr>
                    <xdr:cNvSpPr>
                      <a:spLocks noChangeArrowheads="1"/>
                    </xdr:cNvSpPr>
                  </xdr:nvSpPr>
                  <xdr:spPr bwMode="auto">
                    <a:xfrm>
                      <a:off x="1147" y="2933"/>
                      <a:ext cx="23" cy="24"/>
                    </a:xfrm>
                    <a:prstGeom prst="ellipse">
                      <a:avLst/>
                    </a:prstGeom>
                    <a:solidFill>
                      <a:srgbClr val="FFFFC0"/>
                    </a:solidFill>
                    <a:ln>
                      <a:noFill/>
                    </a:ln>
                    <a:effectLst/>
                    <a:extLst>
                      <a:ext uri="{91240B29-F687-4F45-9708-019B960494DF}">
                        <a14:hiddenLine xmlns:a14="http://schemas.microsoft.com/office/drawing/2010/main" w="9525">
                          <a:solidFill>
                            <a:schemeClr val="tx1"/>
                          </a:solidFill>
                          <a:round/>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grpSp>
          </xdr:grpSp>
          <xdr:grpSp>
            <xdr:nvGrpSpPr>
              <xdr:cNvPr id="32" name="Group 31">
                <a:extLst>
                  <a:ext uri="{FF2B5EF4-FFF2-40B4-BE49-F238E27FC236}">
                    <a16:creationId xmlns:a16="http://schemas.microsoft.com/office/drawing/2014/main" id="{00000000-0008-0000-1300-000020000000}"/>
                  </a:ext>
                </a:extLst>
              </xdr:cNvPr>
              <xdr:cNvGrpSpPr>
                <a:grpSpLocks/>
              </xdr:cNvGrpSpPr>
            </xdr:nvGrpSpPr>
            <xdr:grpSpPr bwMode="auto">
              <a:xfrm>
                <a:off x="896" y="3292"/>
                <a:ext cx="408" cy="381"/>
                <a:chOff x="896" y="3292"/>
                <a:chExt cx="408" cy="381"/>
              </a:xfrm>
            </xdr:grpSpPr>
            <xdr:sp macro="" textlink="">
              <xdr:nvSpPr>
                <xdr:cNvPr id="33" name="Freeform 48">
                  <a:extLst>
                    <a:ext uri="{FF2B5EF4-FFF2-40B4-BE49-F238E27FC236}">
                      <a16:creationId xmlns:a16="http://schemas.microsoft.com/office/drawing/2014/main" id="{00000000-0008-0000-1300-000021000000}"/>
                    </a:ext>
                  </a:extLst>
                </xdr:cNvPr>
                <xdr:cNvSpPr>
                  <a:spLocks/>
                </xdr:cNvSpPr>
              </xdr:nvSpPr>
              <xdr:spPr bwMode="auto">
                <a:xfrm>
                  <a:off x="896" y="3292"/>
                  <a:ext cx="408" cy="367"/>
                </a:xfrm>
                <a:custGeom>
                  <a:avLst/>
                  <a:gdLst>
                    <a:gd name="T0" fmla="*/ 0 w 408"/>
                    <a:gd name="T1" fmla="*/ 125 h 367"/>
                    <a:gd name="T2" fmla="*/ 1 w 408"/>
                    <a:gd name="T3" fmla="*/ 113 h 367"/>
                    <a:gd name="T4" fmla="*/ 5 w 408"/>
                    <a:gd name="T5" fmla="*/ 102 h 367"/>
                    <a:gd name="T6" fmla="*/ 9 w 408"/>
                    <a:gd name="T7" fmla="*/ 91 h 367"/>
                    <a:gd name="T8" fmla="*/ 16 w 408"/>
                    <a:gd name="T9" fmla="*/ 81 h 367"/>
                    <a:gd name="T10" fmla="*/ 22 w 408"/>
                    <a:gd name="T11" fmla="*/ 72 h 367"/>
                    <a:gd name="T12" fmla="*/ 28 w 408"/>
                    <a:gd name="T13" fmla="*/ 64 h 367"/>
                    <a:gd name="T14" fmla="*/ 36 w 408"/>
                    <a:gd name="T15" fmla="*/ 55 h 367"/>
                    <a:gd name="T16" fmla="*/ 47 w 408"/>
                    <a:gd name="T17" fmla="*/ 47 h 367"/>
                    <a:gd name="T18" fmla="*/ 60 w 408"/>
                    <a:gd name="T19" fmla="*/ 39 h 367"/>
                    <a:gd name="T20" fmla="*/ 76 w 408"/>
                    <a:gd name="T21" fmla="*/ 29 h 367"/>
                    <a:gd name="T22" fmla="*/ 93 w 408"/>
                    <a:gd name="T23" fmla="*/ 22 h 367"/>
                    <a:gd name="T24" fmla="*/ 111 w 408"/>
                    <a:gd name="T25" fmla="*/ 15 h 367"/>
                    <a:gd name="T26" fmla="*/ 129 w 408"/>
                    <a:gd name="T27" fmla="*/ 9 h 367"/>
                    <a:gd name="T28" fmla="*/ 149 w 408"/>
                    <a:gd name="T29" fmla="*/ 6 h 367"/>
                    <a:gd name="T30" fmla="*/ 167 w 408"/>
                    <a:gd name="T31" fmla="*/ 2 h 367"/>
                    <a:gd name="T32" fmla="*/ 182 w 408"/>
                    <a:gd name="T33" fmla="*/ 1 h 367"/>
                    <a:gd name="T34" fmla="*/ 199 w 408"/>
                    <a:gd name="T35" fmla="*/ 0 h 367"/>
                    <a:gd name="T36" fmla="*/ 217 w 408"/>
                    <a:gd name="T37" fmla="*/ 0 h 367"/>
                    <a:gd name="T38" fmla="*/ 231 w 408"/>
                    <a:gd name="T39" fmla="*/ 1 h 367"/>
                    <a:gd name="T40" fmla="*/ 246 w 408"/>
                    <a:gd name="T41" fmla="*/ 4 h 367"/>
                    <a:gd name="T42" fmla="*/ 263 w 408"/>
                    <a:gd name="T43" fmla="*/ 7 h 367"/>
                    <a:gd name="T44" fmla="*/ 277 w 408"/>
                    <a:gd name="T45" fmla="*/ 9 h 367"/>
                    <a:gd name="T46" fmla="*/ 293 w 408"/>
                    <a:gd name="T47" fmla="*/ 15 h 367"/>
                    <a:gd name="T48" fmla="*/ 306 w 408"/>
                    <a:gd name="T49" fmla="*/ 20 h 367"/>
                    <a:gd name="T50" fmla="*/ 321 w 408"/>
                    <a:gd name="T51" fmla="*/ 26 h 367"/>
                    <a:gd name="T52" fmla="*/ 332 w 408"/>
                    <a:gd name="T53" fmla="*/ 32 h 367"/>
                    <a:gd name="T54" fmla="*/ 341 w 408"/>
                    <a:gd name="T55" fmla="*/ 36 h 367"/>
                    <a:gd name="T56" fmla="*/ 351 w 408"/>
                    <a:gd name="T57" fmla="*/ 42 h 367"/>
                    <a:gd name="T58" fmla="*/ 360 w 408"/>
                    <a:gd name="T59" fmla="*/ 49 h 367"/>
                    <a:gd name="T60" fmla="*/ 369 w 408"/>
                    <a:gd name="T61" fmla="*/ 56 h 367"/>
                    <a:gd name="T62" fmla="*/ 378 w 408"/>
                    <a:gd name="T63" fmla="*/ 65 h 367"/>
                    <a:gd name="T64" fmla="*/ 386 w 408"/>
                    <a:gd name="T65" fmla="*/ 75 h 367"/>
                    <a:gd name="T66" fmla="*/ 391 w 408"/>
                    <a:gd name="T67" fmla="*/ 83 h 367"/>
                    <a:gd name="T68" fmla="*/ 396 w 408"/>
                    <a:gd name="T69" fmla="*/ 90 h 367"/>
                    <a:gd name="T70" fmla="*/ 400 w 408"/>
                    <a:gd name="T71" fmla="*/ 98 h 367"/>
                    <a:gd name="T72" fmla="*/ 403 w 408"/>
                    <a:gd name="T73" fmla="*/ 106 h 367"/>
                    <a:gd name="T74" fmla="*/ 407 w 408"/>
                    <a:gd name="T75" fmla="*/ 117 h 367"/>
                    <a:gd name="T76" fmla="*/ 407 w 408"/>
                    <a:gd name="T77" fmla="*/ 366 h 367"/>
                    <a:gd name="T78" fmla="*/ 1 w 408"/>
                    <a:gd name="T79" fmla="*/ 364 h 367"/>
                    <a:gd name="T80" fmla="*/ 0 w 408"/>
                    <a:gd name="T81" fmla="*/ 125 h 36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Lst>
                  <a:rect l="0" t="0" r="r" b="b"/>
                  <a:pathLst>
                    <a:path w="408" h="367">
                      <a:moveTo>
                        <a:pt x="0" y="125"/>
                      </a:moveTo>
                      <a:lnTo>
                        <a:pt x="1" y="113"/>
                      </a:lnTo>
                      <a:lnTo>
                        <a:pt x="5" y="102"/>
                      </a:lnTo>
                      <a:lnTo>
                        <a:pt x="9" y="91"/>
                      </a:lnTo>
                      <a:lnTo>
                        <a:pt x="16" y="81"/>
                      </a:lnTo>
                      <a:lnTo>
                        <a:pt x="22" y="72"/>
                      </a:lnTo>
                      <a:lnTo>
                        <a:pt x="28" y="64"/>
                      </a:lnTo>
                      <a:lnTo>
                        <a:pt x="36" y="55"/>
                      </a:lnTo>
                      <a:lnTo>
                        <a:pt x="47" y="47"/>
                      </a:lnTo>
                      <a:lnTo>
                        <a:pt x="60" y="39"/>
                      </a:lnTo>
                      <a:lnTo>
                        <a:pt x="76" y="29"/>
                      </a:lnTo>
                      <a:lnTo>
                        <a:pt x="93" y="22"/>
                      </a:lnTo>
                      <a:lnTo>
                        <a:pt x="111" y="15"/>
                      </a:lnTo>
                      <a:lnTo>
                        <a:pt x="129" y="9"/>
                      </a:lnTo>
                      <a:lnTo>
                        <a:pt x="149" y="6"/>
                      </a:lnTo>
                      <a:lnTo>
                        <a:pt x="167" y="2"/>
                      </a:lnTo>
                      <a:lnTo>
                        <a:pt x="182" y="1"/>
                      </a:lnTo>
                      <a:lnTo>
                        <a:pt x="199" y="0"/>
                      </a:lnTo>
                      <a:lnTo>
                        <a:pt x="217" y="0"/>
                      </a:lnTo>
                      <a:lnTo>
                        <a:pt x="231" y="1"/>
                      </a:lnTo>
                      <a:lnTo>
                        <a:pt x="246" y="4"/>
                      </a:lnTo>
                      <a:lnTo>
                        <a:pt x="263" y="7"/>
                      </a:lnTo>
                      <a:lnTo>
                        <a:pt x="277" y="9"/>
                      </a:lnTo>
                      <a:lnTo>
                        <a:pt x="293" y="15"/>
                      </a:lnTo>
                      <a:lnTo>
                        <a:pt x="306" y="20"/>
                      </a:lnTo>
                      <a:lnTo>
                        <a:pt x="321" y="26"/>
                      </a:lnTo>
                      <a:lnTo>
                        <a:pt x="332" y="32"/>
                      </a:lnTo>
                      <a:lnTo>
                        <a:pt x="341" y="36"/>
                      </a:lnTo>
                      <a:lnTo>
                        <a:pt x="351" y="42"/>
                      </a:lnTo>
                      <a:lnTo>
                        <a:pt x="360" y="49"/>
                      </a:lnTo>
                      <a:lnTo>
                        <a:pt x="369" y="56"/>
                      </a:lnTo>
                      <a:lnTo>
                        <a:pt x="378" y="65"/>
                      </a:lnTo>
                      <a:lnTo>
                        <a:pt x="386" y="75"/>
                      </a:lnTo>
                      <a:lnTo>
                        <a:pt x="391" y="83"/>
                      </a:lnTo>
                      <a:lnTo>
                        <a:pt x="396" y="90"/>
                      </a:lnTo>
                      <a:lnTo>
                        <a:pt x="400" y="98"/>
                      </a:lnTo>
                      <a:lnTo>
                        <a:pt x="403" y="106"/>
                      </a:lnTo>
                      <a:lnTo>
                        <a:pt x="407" y="117"/>
                      </a:lnTo>
                      <a:lnTo>
                        <a:pt x="407" y="366"/>
                      </a:lnTo>
                      <a:lnTo>
                        <a:pt x="1" y="364"/>
                      </a:lnTo>
                      <a:lnTo>
                        <a:pt x="0" y="125"/>
                      </a:lnTo>
                    </a:path>
                  </a:pathLst>
                </a:custGeom>
                <a:solidFill>
                  <a:srgbClr val="FFA040"/>
                </a:solidFill>
                <a:ln>
                  <a:noFill/>
                </a:ln>
                <a:effectLst/>
                <a:extLst>
                  <a:ext uri="{91240B29-F687-4F45-9708-019B960494DF}">
                    <a14:hiddenLine xmlns:a14="http://schemas.microsoft.com/office/drawing/2010/main" w="9525" cap="rnd">
                      <a:solidFill>
                        <a:schemeClr val="tx1"/>
                      </a:solidFill>
                      <a:round/>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nvGrpSpPr>
                <xdr:cNvPr id="34" name="Group 33">
                  <a:extLst>
                    <a:ext uri="{FF2B5EF4-FFF2-40B4-BE49-F238E27FC236}">
                      <a16:creationId xmlns:a16="http://schemas.microsoft.com/office/drawing/2014/main" id="{00000000-0008-0000-1300-000022000000}"/>
                    </a:ext>
                  </a:extLst>
                </xdr:cNvPr>
                <xdr:cNvGrpSpPr>
                  <a:grpSpLocks/>
                </xdr:cNvGrpSpPr>
              </xdr:nvGrpSpPr>
              <xdr:grpSpPr bwMode="auto">
                <a:xfrm>
                  <a:off x="897" y="3306"/>
                  <a:ext cx="407" cy="367"/>
                  <a:chOff x="897" y="3306"/>
                  <a:chExt cx="407" cy="367"/>
                </a:xfrm>
              </xdr:grpSpPr>
              <xdr:sp macro="" textlink="">
                <xdr:nvSpPr>
                  <xdr:cNvPr id="35" name="Freeform 49">
                    <a:extLst>
                      <a:ext uri="{FF2B5EF4-FFF2-40B4-BE49-F238E27FC236}">
                        <a16:creationId xmlns:a16="http://schemas.microsoft.com/office/drawing/2014/main" id="{00000000-0008-0000-1300-000023000000}"/>
                      </a:ext>
                    </a:extLst>
                  </xdr:cNvPr>
                  <xdr:cNvSpPr>
                    <a:spLocks/>
                  </xdr:cNvSpPr>
                </xdr:nvSpPr>
                <xdr:spPr bwMode="auto">
                  <a:xfrm>
                    <a:off x="897" y="3306"/>
                    <a:ext cx="407" cy="367"/>
                  </a:xfrm>
                  <a:custGeom>
                    <a:avLst/>
                    <a:gdLst>
                      <a:gd name="T0" fmla="*/ 0 w 407"/>
                      <a:gd name="T1" fmla="*/ 125 h 367"/>
                      <a:gd name="T2" fmla="*/ 1 w 407"/>
                      <a:gd name="T3" fmla="*/ 113 h 367"/>
                      <a:gd name="T4" fmla="*/ 5 w 407"/>
                      <a:gd name="T5" fmla="*/ 102 h 367"/>
                      <a:gd name="T6" fmla="*/ 9 w 407"/>
                      <a:gd name="T7" fmla="*/ 91 h 367"/>
                      <a:gd name="T8" fmla="*/ 15 w 407"/>
                      <a:gd name="T9" fmla="*/ 81 h 367"/>
                      <a:gd name="T10" fmla="*/ 21 w 407"/>
                      <a:gd name="T11" fmla="*/ 72 h 367"/>
                      <a:gd name="T12" fmla="*/ 28 w 407"/>
                      <a:gd name="T13" fmla="*/ 64 h 367"/>
                      <a:gd name="T14" fmla="*/ 36 w 407"/>
                      <a:gd name="T15" fmla="*/ 55 h 367"/>
                      <a:gd name="T16" fmla="*/ 47 w 407"/>
                      <a:gd name="T17" fmla="*/ 46 h 367"/>
                      <a:gd name="T18" fmla="*/ 60 w 407"/>
                      <a:gd name="T19" fmla="*/ 37 h 367"/>
                      <a:gd name="T20" fmla="*/ 76 w 407"/>
                      <a:gd name="T21" fmla="*/ 29 h 367"/>
                      <a:gd name="T22" fmla="*/ 92 w 407"/>
                      <a:gd name="T23" fmla="*/ 22 h 367"/>
                      <a:gd name="T24" fmla="*/ 111 w 407"/>
                      <a:gd name="T25" fmla="*/ 15 h 367"/>
                      <a:gd name="T26" fmla="*/ 128 w 407"/>
                      <a:gd name="T27" fmla="*/ 11 h 367"/>
                      <a:gd name="T28" fmla="*/ 149 w 407"/>
                      <a:gd name="T29" fmla="*/ 6 h 367"/>
                      <a:gd name="T30" fmla="*/ 167 w 407"/>
                      <a:gd name="T31" fmla="*/ 2 h 367"/>
                      <a:gd name="T32" fmla="*/ 182 w 407"/>
                      <a:gd name="T33" fmla="*/ 2 h 367"/>
                      <a:gd name="T34" fmla="*/ 198 w 407"/>
                      <a:gd name="T35" fmla="*/ 0 h 367"/>
                      <a:gd name="T36" fmla="*/ 217 w 407"/>
                      <a:gd name="T37" fmla="*/ 0 h 367"/>
                      <a:gd name="T38" fmla="*/ 231 w 407"/>
                      <a:gd name="T39" fmla="*/ 2 h 367"/>
                      <a:gd name="T40" fmla="*/ 245 w 407"/>
                      <a:gd name="T41" fmla="*/ 4 h 367"/>
                      <a:gd name="T42" fmla="*/ 262 w 407"/>
                      <a:gd name="T43" fmla="*/ 7 h 367"/>
                      <a:gd name="T44" fmla="*/ 277 w 407"/>
                      <a:gd name="T45" fmla="*/ 11 h 367"/>
                      <a:gd name="T46" fmla="*/ 292 w 407"/>
                      <a:gd name="T47" fmla="*/ 15 h 367"/>
                      <a:gd name="T48" fmla="*/ 306 w 407"/>
                      <a:gd name="T49" fmla="*/ 20 h 367"/>
                      <a:gd name="T50" fmla="*/ 322 w 407"/>
                      <a:gd name="T51" fmla="*/ 27 h 367"/>
                      <a:gd name="T52" fmla="*/ 332 w 407"/>
                      <a:gd name="T53" fmla="*/ 32 h 367"/>
                      <a:gd name="T54" fmla="*/ 341 w 407"/>
                      <a:gd name="T55" fmla="*/ 37 h 367"/>
                      <a:gd name="T56" fmla="*/ 350 w 407"/>
                      <a:gd name="T57" fmla="*/ 42 h 367"/>
                      <a:gd name="T58" fmla="*/ 360 w 407"/>
                      <a:gd name="T59" fmla="*/ 48 h 367"/>
                      <a:gd name="T60" fmla="*/ 368 w 407"/>
                      <a:gd name="T61" fmla="*/ 56 h 367"/>
                      <a:gd name="T62" fmla="*/ 378 w 407"/>
                      <a:gd name="T63" fmla="*/ 65 h 367"/>
                      <a:gd name="T64" fmla="*/ 385 w 407"/>
                      <a:gd name="T65" fmla="*/ 75 h 367"/>
                      <a:gd name="T66" fmla="*/ 391 w 407"/>
                      <a:gd name="T67" fmla="*/ 83 h 367"/>
                      <a:gd name="T68" fmla="*/ 395 w 407"/>
                      <a:gd name="T69" fmla="*/ 90 h 367"/>
                      <a:gd name="T70" fmla="*/ 400 w 407"/>
                      <a:gd name="T71" fmla="*/ 98 h 367"/>
                      <a:gd name="T72" fmla="*/ 404 w 407"/>
                      <a:gd name="T73" fmla="*/ 106 h 367"/>
                      <a:gd name="T74" fmla="*/ 406 w 407"/>
                      <a:gd name="T75" fmla="*/ 117 h 367"/>
                      <a:gd name="T76" fmla="*/ 406 w 407"/>
                      <a:gd name="T77" fmla="*/ 366 h 367"/>
                      <a:gd name="T78" fmla="*/ 1 w 407"/>
                      <a:gd name="T79" fmla="*/ 364 h 367"/>
                      <a:gd name="T80" fmla="*/ 0 w 407"/>
                      <a:gd name="T81" fmla="*/ 125 h 36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Lst>
                    <a:rect l="0" t="0" r="r" b="b"/>
                    <a:pathLst>
                      <a:path w="407" h="367">
                        <a:moveTo>
                          <a:pt x="0" y="125"/>
                        </a:moveTo>
                        <a:lnTo>
                          <a:pt x="1" y="113"/>
                        </a:lnTo>
                        <a:lnTo>
                          <a:pt x="5" y="102"/>
                        </a:lnTo>
                        <a:lnTo>
                          <a:pt x="9" y="91"/>
                        </a:lnTo>
                        <a:lnTo>
                          <a:pt x="15" y="81"/>
                        </a:lnTo>
                        <a:lnTo>
                          <a:pt x="21" y="72"/>
                        </a:lnTo>
                        <a:lnTo>
                          <a:pt x="28" y="64"/>
                        </a:lnTo>
                        <a:lnTo>
                          <a:pt x="36" y="55"/>
                        </a:lnTo>
                        <a:lnTo>
                          <a:pt x="47" y="46"/>
                        </a:lnTo>
                        <a:lnTo>
                          <a:pt x="60" y="37"/>
                        </a:lnTo>
                        <a:lnTo>
                          <a:pt x="76" y="29"/>
                        </a:lnTo>
                        <a:lnTo>
                          <a:pt x="92" y="22"/>
                        </a:lnTo>
                        <a:lnTo>
                          <a:pt x="111" y="15"/>
                        </a:lnTo>
                        <a:lnTo>
                          <a:pt x="128" y="11"/>
                        </a:lnTo>
                        <a:lnTo>
                          <a:pt x="149" y="6"/>
                        </a:lnTo>
                        <a:lnTo>
                          <a:pt x="167" y="2"/>
                        </a:lnTo>
                        <a:lnTo>
                          <a:pt x="182" y="2"/>
                        </a:lnTo>
                        <a:lnTo>
                          <a:pt x="198" y="0"/>
                        </a:lnTo>
                        <a:lnTo>
                          <a:pt x="217" y="0"/>
                        </a:lnTo>
                        <a:lnTo>
                          <a:pt x="231" y="2"/>
                        </a:lnTo>
                        <a:lnTo>
                          <a:pt x="245" y="4"/>
                        </a:lnTo>
                        <a:lnTo>
                          <a:pt x="262" y="7"/>
                        </a:lnTo>
                        <a:lnTo>
                          <a:pt x="277" y="11"/>
                        </a:lnTo>
                        <a:lnTo>
                          <a:pt x="292" y="15"/>
                        </a:lnTo>
                        <a:lnTo>
                          <a:pt x="306" y="20"/>
                        </a:lnTo>
                        <a:lnTo>
                          <a:pt x="322" y="27"/>
                        </a:lnTo>
                        <a:lnTo>
                          <a:pt x="332" y="32"/>
                        </a:lnTo>
                        <a:lnTo>
                          <a:pt x="341" y="37"/>
                        </a:lnTo>
                        <a:lnTo>
                          <a:pt x="350" y="42"/>
                        </a:lnTo>
                        <a:lnTo>
                          <a:pt x="360" y="48"/>
                        </a:lnTo>
                        <a:lnTo>
                          <a:pt x="368" y="56"/>
                        </a:lnTo>
                        <a:lnTo>
                          <a:pt x="378" y="65"/>
                        </a:lnTo>
                        <a:lnTo>
                          <a:pt x="385" y="75"/>
                        </a:lnTo>
                        <a:lnTo>
                          <a:pt x="391" y="83"/>
                        </a:lnTo>
                        <a:lnTo>
                          <a:pt x="395" y="90"/>
                        </a:lnTo>
                        <a:lnTo>
                          <a:pt x="400" y="98"/>
                        </a:lnTo>
                        <a:lnTo>
                          <a:pt x="404" y="106"/>
                        </a:lnTo>
                        <a:lnTo>
                          <a:pt x="406" y="117"/>
                        </a:lnTo>
                        <a:lnTo>
                          <a:pt x="406" y="366"/>
                        </a:lnTo>
                        <a:lnTo>
                          <a:pt x="1" y="364"/>
                        </a:lnTo>
                        <a:lnTo>
                          <a:pt x="0" y="125"/>
                        </a:lnTo>
                      </a:path>
                    </a:pathLst>
                  </a:custGeom>
                  <a:solidFill>
                    <a:srgbClr val="E07000"/>
                  </a:solidFill>
                  <a:ln>
                    <a:noFill/>
                  </a:ln>
                  <a:effectLst/>
                  <a:extLst>
                    <a:ext uri="{91240B29-F687-4F45-9708-019B960494DF}">
                      <a14:hiddenLine xmlns:a14="http://schemas.microsoft.com/office/drawing/2010/main" w="9525" cap="rnd">
                        <a:solidFill>
                          <a:schemeClr val="tx1"/>
                        </a:solidFill>
                        <a:round/>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36" name="Oval 35">
                    <a:extLst>
                      <a:ext uri="{FF2B5EF4-FFF2-40B4-BE49-F238E27FC236}">
                        <a16:creationId xmlns:a16="http://schemas.microsoft.com/office/drawing/2014/main" id="{00000000-0008-0000-1300-000024000000}"/>
                      </a:ext>
                    </a:extLst>
                  </xdr:cNvPr>
                  <xdr:cNvSpPr>
                    <a:spLocks noChangeArrowheads="1"/>
                  </xdr:cNvSpPr>
                </xdr:nvSpPr>
                <xdr:spPr bwMode="auto">
                  <a:xfrm>
                    <a:off x="925" y="3323"/>
                    <a:ext cx="344" cy="342"/>
                  </a:xfrm>
                  <a:prstGeom prst="ellipse">
                    <a:avLst/>
                  </a:prstGeom>
                  <a:solidFill>
                    <a:srgbClr val="00A000"/>
                  </a:solidFill>
                  <a:ln w="12700">
                    <a:solidFill>
                      <a:srgbClr val="000000"/>
                    </a:solidFill>
                    <a:round/>
                    <a:headEnd/>
                    <a:tailEnd/>
                  </a:ln>
                  <a:effectLst/>
                  <a:extLs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nvGrpSpPr>
                  <xdr:cNvPr id="37" name="Group 36">
                    <a:extLst>
                      <a:ext uri="{FF2B5EF4-FFF2-40B4-BE49-F238E27FC236}">
                        <a16:creationId xmlns:a16="http://schemas.microsoft.com/office/drawing/2014/main" id="{00000000-0008-0000-1300-000025000000}"/>
                      </a:ext>
                    </a:extLst>
                  </xdr:cNvPr>
                  <xdr:cNvGrpSpPr>
                    <a:grpSpLocks/>
                  </xdr:cNvGrpSpPr>
                </xdr:nvGrpSpPr>
                <xdr:grpSpPr bwMode="auto">
                  <a:xfrm>
                    <a:off x="1125" y="3355"/>
                    <a:ext cx="54" cy="49"/>
                    <a:chOff x="1125" y="3355"/>
                    <a:chExt cx="54" cy="49"/>
                  </a:xfrm>
                </xdr:grpSpPr>
                <xdr:sp macro="" textlink="">
                  <xdr:nvSpPr>
                    <xdr:cNvPr id="38" name="Oval 37">
                      <a:extLst>
                        <a:ext uri="{FF2B5EF4-FFF2-40B4-BE49-F238E27FC236}">
                          <a16:creationId xmlns:a16="http://schemas.microsoft.com/office/drawing/2014/main" id="{00000000-0008-0000-1300-000026000000}"/>
                        </a:ext>
                      </a:extLst>
                    </xdr:cNvPr>
                    <xdr:cNvSpPr>
                      <a:spLocks noChangeArrowheads="1"/>
                    </xdr:cNvSpPr>
                  </xdr:nvSpPr>
                  <xdr:spPr bwMode="auto">
                    <a:xfrm>
                      <a:off x="1125" y="3355"/>
                      <a:ext cx="31" cy="32"/>
                    </a:xfrm>
                    <a:prstGeom prst="ellipse">
                      <a:avLst/>
                    </a:prstGeom>
                    <a:solidFill>
                      <a:srgbClr val="80FF80"/>
                    </a:solidFill>
                    <a:ln>
                      <a:noFill/>
                    </a:ln>
                    <a:effectLst/>
                    <a:extLst>
                      <a:ext uri="{91240B29-F687-4F45-9708-019B960494DF}">
                        <a14:hiddenLine xmlns:a14="http://schemas.microsoft.com/office/drawing/2010/main" w="9525">
                          <a:solidFill>
                            <a:schemeClr val="tx1"/>
                          </a:solidFill>
                          <a:round/>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39" name="Oval 38">
                      <a:extLst>
                        <a:ext uri="{FF2B5EF4-FFF2-40B4-BE49-F238E27FC236}">
                          <a16:creationId xmlns:a16="http://schemas.microsoft.com/office/drawing/2014/main" id="{00000000-0008-0000-1300-000027000000}"/>
                        </a:ext>
                      </a:extLst>
                    </xdr:cNvPr>
                    <xdr:cNvSpPr>
                      <a:spLocks noChangeArrowheads="1"/>
                    </xdr:cNvSpPr>
                  </xdr:nvSpPr>
                  <xdr:spPr bwMode="auto">
                    <a:xfrm>
                      <a:off x="1156" y="3380"/>
                      <a:ext cx="23" cy="24"/>
                    </a:xfrm>
                    <a:prstGeom prst="ellipse">
                      <a:avLst/>
                    </a:prstGeom>
                    <a:solidFill>
                      <a:srgbClr val="80FF80"/>
                    </a:solidFill>
                    <a:ln>
                      <a:noFill/>
                    </a:ln>
                    <a:effectLst/>
                    <a:extLst>
                      <a:ext uri="{91240B29-F687-4F45-9708-019B960494DF}">
                        <a14:hiddenLine xmlns:a14="http://schemas.microsoft.com/office/drawing/2010/main" w="9525">
                          <a:solidFill>
                            <a:schemeClr val="tx1"/>
                          </a:solidFill>
                          <a:round/>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grpSp>
          </xdr:grpSp>
        </xdr:grpSp>
      </xdr:grpSp>
      <xdr:sp macro="" textlink="">
        <xdr:nvSpPr>
          <xdr:cNvPr id="10" name="Rectangle 9">
            <a:extLst>
              <a:ext uri="{FF2B5EF4-FFF2-40B4-BE49-F238E27FC236}">
                <a16:creationId xmlns:a16="http://schemas.microsoft.com/office/drawing/2014/main" id="{00000000-0008-0000-1300-00000A000000}"/>
              </a:ext>
            </a:extLst>
          </xdr:cNvPr>
          <xdr:cNvSpPr>
            <a:spLocks noChangeArrowheads="1"/>
          </xdr:cNvSpPr>
        </xdr:nvSpPr>
        <xdr:spPr bwMode="auto">
          <a:xfrm>
            <a:off x="15245773" y="17206480"/>
            <a:ext cx="824202" cy="501362"/>
          </a:xfrm>
          <a:prstGeom prst="rect">
            <a:avLst/>
          </a:prstGeom>
          <a:solidFill>
            <a:schemeClr val="bg1"/>
          </a:solidFill>
          <a:ln w="12700">
            <a:solidFill>
              <a:schemeClr val="tx2"/>
            </a:solidFill>
            <a:miter lim="800000"/>
            <a:headEnd/>
            <a:tailEnd/>
          </a:ln>
          <a:effectLst>
            <a:outerShdw dist="53882" dir="2700000" algn="ctr" rotWithShape="0">
              <a:schemeClr val="bg2"/>
            </a:outerShdw>
          </a:effectLst>
        </xdr:spPr>
        <xdr:txBody>
          <a:bodyPr wrap="square" lIns="87312" tIns="44450" rIns="87312" bIns="44450">
            <a:spAutoFit/>
          </a:bodyP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pPr algn="ctr"/>
            <a:r>
              <a:rPr lang="en-US" altLang="en-US" sz="1900" b="1"/>
              <a:t>2%</a:t>
            </a:r>
          </a:p>
        </xdr:txBody>
      </xdr:sp>
      <xdr:sp macro="" textlink="">
        <xdr:nvSpPr>
          <xdr:cNvPr id="11" name="Rectangle 10">
            <a:extLst>
              <a:ext uri="{FF2B5EF4-FFF2-40B4-BE49-F238E27FC236}">
                <a16:creationId xmlns:a16="http://schemas.microsoft.com/office/drawing/2014/main" id="{00000000-0008-0000-1300-00000B000000}"/>
              </a:ext>
            </a:extLst>
          </xdr:cNvPr>
          <xdr:cNvSpPr>
            <a:spLocks noChangeArrowheads="1"/>
          </xdr:cNvSpPr>
        </xdr:nvSpPr>
        <xdr:spPr bwMode="auto">
          <a:xfrm>
            <a:off x="16912938" y="17206480"/>
            <a:ext cx="558366" cy="485746"/>
          </a:xfrm>
          <a:prstGeom prst="rect">
            <a:avLst/>
          </a:prstGeom>
          <a:solidFill>
            <a:schemeClr val="bg1"/>
          </a:solidFill>
          <a:ln w="12700">
            <a:solidFill>
              <a:schemeClr val="tx2"/>
            </a:solidFill>
            <a:miter lim="800000"/>
            <a:headEnd/>
            <a:tailEnd/>
          </a:ln>
          <a:effectLst>
            <a:outerShdw dist="53882" dir="2700000" algn="ctr" rotWithShape="0">
              <a:schemeClr val="bg2"/>
            </a:outerShdw>
          </a:effectLst>
        </xdr:spPr>
        <xdr:txBody>
          <a:bodyPr wrap="square" lIns="87312" tIns="44450" rIns="87312" bIns="44450">
            <a:noAutofit/>
          </a:bodyP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pPr algn="ctr"/>
            <a:r>
              <a:rPr lang="en-US" altLang="en-US" sz="1600" b="1"/>
              <a:t>10</a:t>
            </a:r>
          </a:p>
        </xdr:txBody>
      </xdr:sp>
      <xdr:sp macro="" textlink="">
        <xdr:nvSpPr>
          <xdr:cNvPr id="12" name="Rectangle 11">
            <a:extLst>
              <a:ext uri="{FF2B5EF4-FFF2-40B4-BE49-F238E27FC236}">
                <a16:creationId xmlns:a16="http://schemas.microsoft.com/office/drawing/2014/main" id="{00000000-0008-0000-1300-00000C000000}"/>
              </a:ext>
            </a:extLst>
          </xdr:cNvPr>
          <xdr:cNvSpPr>
            <a:spLocks noChangeArrowheads="1"/>
          </xdr:cNvSpPr>
        </xdr:nvSpPr>
        <xdr:spPr bwMode="auto">
          <a:xfrm>
            <a:off x="18354243" y="16080078"/>
            <a:ext cx="1031730" cy="556779"/>
          </a:xfrm>
          <a:prstGeom prst="rect">
            <a:avLst/>
          </a:prstGeom>
          <a:solidFill>
            <a:schemeClr val="bg1"/>
          </a:solidFill>
          <a:ln w="12700">
            <a:solidFill>
              <a:schemeClr val="tx2"/>
            </a:solidFill>
            <a:miter lim="800000"/>
            <a:headEnd/>
            <a:tailEnd/>
          </a:ln>
          <a:effectLst>
            <a:outerShdw dist="53882" dir="2700000" algn="ctr" rotWithShape="0">
              <a:schemeClr val="bg2"/>
            </a:outerShdw>
          </a:effectLst>
        </xdr:spPr>
        <xdr:txBody>
          <a:bodyPr wrap="square" lIns="87312" tIns="44450" rIns="87312" bIns="44450">
            <a:spAutoFit/>
          </a:bodyP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pPr algn="ctr"/>
            <a:r>
              <a:rPr lang="en-US" altLang="en-US" sz="1900" b="1"/>
              <a:t>30%</a:t>
            </a:r>
          </a:p>
        </xdr:txBody>
      </xdr:sp>
      <xdr:sp macro="" textlink="">
        <xdr:nvSpPr>
          <xdr:cNvPr id="13" name="Rectangle 12">
            <a:extLst>
              <a:ext uri="{FF2B5EF4-FFF2-40B4-BE49-F238E27FC236}">
                <a16:creationId xmlns:a16="http://schemas.microsoft.com/office/drawing/2014/main" id="{00000000-0008-0000-1300-00000D000000}"/>
              </a:ext>
            </a:extLst>
          </xdr:cNvPr>
          <xdr:cNvSpPr>
            <a:spLocks noChangeArrowheads="1"/>
          </xdr:cNvSpPr>
        </xdr:nvSpPr>
        <xdr:spPr bwMode="auto">
          <a:xfrm>
            <a:off x="16912938" y="16076903"/>
            <a:ext cx="558366" cy="410923"/>
          </a:xfrm>
          <a:prstGeom prst="rect">
            <a:avLst/>
          </a:prstGeom>
          <a:solidFill>
            <a:schemeClr val="bg1"/>
          </a:solidFill>
          <a:ln w="12700">
            <a:solidFill>
              <a:schemeClr val="tx2"/>
            </a:solidFill>
            <a:miter lim="800000"/>
            <a:headEnd/>
            <a:tailEnd/>
          </a:ln>
          <a:effectLst>
            <a:outerShdw dist="53882" dir="2700000" algn="ctr" rotWithShape="0">
              <a:schemeClr val="bg2"/>
            </a:outerShdw>
          </a:effectLst>
        </xdr:spPr>
        <xdr:txBody>
          <a:bodyPr wrap="square" lIns="87312" tIns="44450" rIns="87312" bIns="44450">
            <a:spAutoFit/>
          </a:bodyP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pPr algn="ctr"/>
            <a:r>
              <a:rPr lang="en-US" altLang="en-US" sz="1800" b="1"/>
              <a:t>5</a:t>
            </a:r>
          </a:p>
        </xdr:txBody>
      </xdr:sp>
      <xdr:sp macro="" textlink="">
        <xdr:nvSpPr>
          <xdr:cNvPr id="14" name="Rectangle 13">
            <a:extLst>
              <a:ext uri="{FF2B5EF4-FFF2-40B4-BE49-F238E27FC236}">
                <a16:creationId xmlns:a16="http://schemas.microsoft.com/office/drawing/2014/main" id="{00000000-0008-0000-1300-00000E000000}"/>
              </a:ext>
            </a:extLst>
          </xdr:cNvPr>
          <xdr:cNvSpPr>
            <a:spLocks noChangeArrowheads="1"/>
          </xdr:cNvSpPr>
        </xdr:nvSpPr>
        <xdr:spPr bwMode="auto">
          <a:xfrm>
            <a:off x="15237836" y="16080078"/>
            <a:ext cx="743239" cy="556779"/>
          </a:xfrm>
          <a:prstGeom prst="rect">
            <a:avLst/>
          </a:prstGeom>
          <a:solidFill>
            <a:schemeClr val="bg1"/>
          </a:solidFill>
          <a:ln w="12700">
            <a:solidFill>
              <a:schemeClr val="tx2"/>
            </a:solidFill>
            <a:miter lim="800000"/>
            <a:headEnd/>
            <a:tailEnd/>
          </a:ln>
          <a:effectLst>
            <a:outerShdw dist="53882" dir="2700000" algn="ctr" rotWithShape="0">
              <a:schemeClr val="bg2"/>
            </a:outerShdw>
          </a:effectLst>
        </xdr:spPr>
        <xdr:txBody>
          <a:bodyPr wrap="square" lIns="87312" tIns="44450" rIns="87312" bIns="44450">
            <a:spAutoFit/>
          </a:bodyP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pPr algn="ctr"/>
            <a:r>
              <a:rPr lang="en-US" altLang="en-US" sz="1900" b="1"/>
              <a:t>8%</a:t>
            </a:r>
          </a:p>
        </xdr:txBody>
      </xdr:sp>
      <xdr:sp macro="" textlink="">
        <xdr:nvSpPr>
          <xdr:cNvPr id="15" name="Rectangle 14">
            <a:extLst>
              <a:ext uri="{FF2B5EF4-FFF2-40B4-BE49-F238E27FC236}">
                <a16:creationId xmlns:a16="http://schemas.microsoft.com/office/drawing/2014/main" id="{00000000-0008-0000-1300-00000F000000}"/>
              </a:ext>
            </a:extLst>
          </xdr:cNvPr>
          <xdr:cNvSpPr>
            <a:spLocks noChangeArrowheads="1"/>
          </xdr:cNvSpPr>
        </xdr:nvSpPr>
        <xdr:spPr bwMode="auto">
          <a:xfrm>
            <a:off x="14670954" y="14817148"/>
            <a:ext cx="1680008" cy="777443"/>
          </a:xfrm>
          <a:prstGeom prst="rect">
            <a:avLst/>
          </a:prstGeom>
          <a:solidFill>
            <a:srgbClr val="92D050"/>
          </a:solidFill>
          <a:ln>
            <a:headEnd/>
            <a:tailEnd/>
          </a:ln>
        </xdr:spPr>
        <xdr:style>
          <a:lnRef idx="2">
            <a:schemeClr val="accent1"/>
          </a:lnRef>
          <a:fillRef idx="1">
            <a:schemeClr val="lt1"/>
          </a:fillRef>
          <a:effectRef idx="0">
            <a:schemeClr val="accent1"/>
          </a:effectRef>
          <a:fontRef idx="minor">
            <a:schemeClr val="dk1"/>
          </a:fontRef>
        </xdr:style>
        <xdr:txBody>
          <a:bodyPr wrap="square" lIns="111125" tIns="55562" rIns="111125" bIns="55562">
            <a:spAutoFit/>
          </a:bodyP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pPr algn="ctr">
              <a:spcBef>
                <a:spcPct val="50000"/>
              </a:spcBef>
            </a:pPr>
            <a:r>
              <a:rPr lang="en-US" altLang="en-US" sz="1200">
                <a:solidFill>
                  <a:schemeClr val="tx2"/>
                </a:solidFill>
              </a:rPr>
              <a:t>R&amp;R %Contribution</a:t>
            </a:r>
            <a:br>
              <a:rPr lang="en-US" altLang="en-US" sz="1200">
                <a:solidFill>
                  <a:schemeClr val="tx2"/>
                </a:solidFill>
              </a:rPr>
            </a:br>
            <a:r>
              <a:rPr lang="en-US" altLang="en-US" sz="800">
                <a:solidFill>
                  <a:schemeClr val="tx2"/>
                </a:solidFill>
              </a:rPr>
              <a:t>(Ratio of </a:t>
            </a:r>
            <a:r>
              <a:rPr lang="en-US" altLang="en-US" sz="800" u="sng">
                <a:solidFill>
                  <a:schemeClr val="tx2"/>
                </a:solidFill>
              </a:rPr>
              <a:t>Variances</a:t>
            </a:r>
            <a:r>
              <a:rPr lang="en-US" altLang="en-US" sz="800">
                <a:solidFill>
                  <a:schemeClr val="tx2"/>
                </a:solidFill>
              </a:rPr>
              <a:t>)</a:t>
            </a:r>
          </a:p>
        </xdr:txBody>
      </xdr:sp>
      <xdr:sp macro="" textlink="">
        <xdr:nvSpPr>
          <xdr:cNvPr id="16" name="Rectangle 15">
            <a:extLst>
              <a:ext uri="{FF2B5EF4-FFF2-40B4-BE49-F238E27FC236}">
                <a16:creationId xmlns:a16="http://schemas.microsoft.com/office/drawing/2014/main" id="{00000000-0008-0000-1300-000010000000}"/>
              </a:ext>
            </a:extLst>
          </xdr:cNvPr>
          <xdr:cNvSpPr>
            <a:spLocks noChangeArrowheads="1"/>
          </xdr:cNvSpPr>
        </xdr:nvSpPr>
        <xdr:spPr bwMode="auto">
          <a:xfrm>
            <a:off x="16448656" y="14555430"/>
            <a:ext cx="1174307" cy="1016999"/>
          </a:xfrm>
          <a:prstGeom prst="rect">
            <a:avLst/>
          </a:prstGeom>
          <a:solidFill>
            <a:srgbClr val="92D050"/>
          </a:solidFill>
          <a:ln>
            <a:headEnd/>
            <a:tailEnd/>
          </a:ln>
        </xdr:spPr>
        <xdr:style>
          <a:lnRef idx="2">
            <a:schemeClr val="accent1"/>
          </a:lnRef>
          <a:fillRef idx="1">
            <a:schemeClr val="lt1"/>
          </a:fillRef>
          <a:effectRef idx="0">
            <a:schemeClr val="accent1"/>
          </a:effectRef>
          <a:fontRef idx="minor">
            <a:schemeClr val="dk1"/>
          </a:fontRef>
        </xdr:style>
        <xdr:txBody>
          <a:bodyPr wrap="square" lIns="111125" tIns="55562" rIns="111125" bIns="55562">
            <a:spAutoFit/>
          </a:bodyP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pPr algn="ctr">
              <a:spcBef>
                <a:spcPct val="50000"/>
              </a:spcBef>
            </a:pPr>
            <a:r>
              <a:rPr lang="en-US" altLang="en-US" sz="1200">
                <a:solidFill>
                  <a:schemeClr val="tx2"/>
                </a:solidFill>
              </a:rPr>
              <a:t>Number of Distinct Categories</a:t>
            </a:r>
            <a:br>
              <a:rPr lang="en-US" altLang="en-US" sz="1200">
                <a:solidFill>
                  <a:schemeClr val="tx2"/>
                </a:solidFill>
              </a:rPr>
            </a:br>
            <a:r>
              <a:rPr lang="en-US" altLang="en-US" sz="800">
                <a:solidFill>
                  <a:schemeClr val="tx2"/>
                </a:solidFill>
              </a:rPr>
              <a:t>(Discrimination Index)</a:t>
            </a:r>
          </a:p>
        </xdr:txBody>
      </xdr:sp>
      <xdr:sp macro="" textlink="">
        <xdr:nvSpPr>
          <xdr:cNvPr id="17" name="Rectangle 16">
            <a:extLst>
              <a:ext uri="{FF2B5EF4-FFF2-40B4-BE49-F238E27FC236}">
                <a16:creationId xmlns:a16="http://schemas.microsoft.com/office/drawing/2014/main" id="{00000000-0008-0000-1300-000011000000}"/>
              </a:ext>
            </a:extLst>
          </xdr:cNvPr>
          <xdr:cNvSpPr>
            <a:spLocks noChangeArrowheads="1"/>
          </xdr:cNvSpPr>
        </xdr:nvSpPr>
        <xdr:spPr bwMode="auto">
          <a:xfrm>
            <a:off x="17720975" y="14633143"/>
            <a:ext cx="1933286" cy="955098"/>
          </a:xfrm>
          <a:prstGeom prst="rect">
            <a:avLst/>
          </a:prstGeom>
          <a:solidFill>
            <a:srgbClr val="FFC000"/>
          </a:solidFill>
          <a:ln>
            <a:headEnd/>
            <a:tailEnd/>
          </a:ln>
        </xdr:spPr>
        <xdr:style>
          <a:lnRef idx="2">
            <a:schemeClr val="accent1"/>
          </a:lnRef>
          <a:fillRef idx="1">
            <a:schemeClr val="lt1"/>
          </a:fillRef>
          <a:effectRef idx="0">
            <a:schemeClr val="accent1"/>
          </a:effectRef>
          <a:fontRef idx="minor">
            <a:schemeClr val="dk1"/>
          </a:fontRef>
        </xdr:style>
        <xdr:txBody>
          <a:bodyPr wrap="square" lIns="111125" tIns="55562" rIns="111125" bIns="55562">
            <a:spAutoFit/>
          </a:bodyP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pPr algn="ctr">
              <a:spcBef>
                <a:spcPct val="50000"/>
              </a:spcBef>
            </a:pPr>
            <a:r>
              <a:rPr lang="en-US" altLang="en-US" sz="1200">
                <a:solidFill>
                  <a:schemeClr val="tx2"/>
                </a:solidFill>
              </a:rPr>
              <a:t>R&amp;R %Study Variation</a:t>
            </a:r>
            <a:br>
              <a:rPr lang="en-US" altLang="en-US" sz="1200">
                <a:solidFill>
                  <a:schemeClr val="tx2"/>
                </a:solidFill>
              </a:rPr>
            </a:br>
            <a:r>
              <a:rPr lang="en-US" altLang="en-US" sz="800">
                <a:solidFill>
                  <a:schemeClr val="tx2"/>
                </a:solidFill>
              </a:rPr>
              <a:t>(Ratio of </a:t>
            </a:r>
            <a:r>
              <a:rPr lang="en-US" altLang="en-US" sz="800" u="sng">
                <a:solidFill>
                  <a:schemeClr val="tx2"/>
                </a:solidFill>
              </a:rPr>
              <a:t>Std.Dev.’s </a:t>
            </a:r>
            <a:r>
              <a:rPr lang="en-US" altLang="en-US" sz="800">
                <a:solidFill>
                  <a:schemeClr val="tx2"/>
                </a:solidFill>
              </a:rPr>
              <a:t>-- AIAG)</a:t>
            </a:r>
          </a:p>
        </xdr:txBody>
      </xdr:sp>
      <xdr:sp macro="" textlink="">
        <xdr:nvSpPr>
          <xdr:cNvPr id="18" name="Rectangle 17">
            <a:extLst>
              <a:ext uri="{FF2B5EF4-FFF2-40B4-BE49-F238E27FC236}">
                <a16:creationId xmlns:a16="http://schemas.microsoft.com/office/drawing/2014/main" id="{00000000-0008-0000-1300-000012000000}"/>
              </a:ext>
            </a:extLst>
          </xdr:cNvPr>
          <xdr:cNvSpPr>
            <a:spLocks noChangeArrowheads="1"/>
          </xdr:cNvSpPr>
        </xdr:nvSpPr>
        <xdr:spPr bwMode="auto">
          <a:xfrm rot="16200000">
            <a:off x="14204733" y="15806073"/>
            <a:ext cx="694892" cy="289245"/>
          </a:xfrm>
          <a:prstGeom prst="rect">
            <a:avLst/>
          </a:prstGeom>
          <a:solidFill>
            <a:schemeClr val="tx2"/>
          </a:solidFill>
          <a:ln>
            <a:noFill/>
          </a:ln>
          <a:effectLst/>
          <a:extLs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lIns="111125" tIns="55562" rIns="111125" bIns="55562">
            <a:spAutoFit/>
          </a:bodyP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pPr algn="ctr">
              <a:spcBef>
                <a:spcPct val="50000"/>
              </a:spcBef>
            </a:pPr>
            <a:r>
              <a:rPr lang="en-US" altLang="en-US" sz="1200" b="1">
                <a:solidFill>
                  <a:schemeClr val="bg1"/>
                </a:solidFill>
              </a:rPr>
              <a:t>Red</a:t>
            </a:r>
          </a:p>
        </xdr:txBody>
      </xdr:sp>
      <xdr:sp macro="" textlink="">
        <xdr:nvSpPr>
          <xdr:cNvPr id="19" name="Rectangle 18">
            <a:extLst>
              <a:ext uri="{FF2B5EF4-FFF2-40B4-BE49-F238E27FC236}">
                <a16:creationId xmlns:a16="http://schemas.microsoft.com/office/drawing/2014/main" id="{00000000-0008-0000-1300-000013000000}"/>
              </a:ext>
            </a:extLst>
          </xdr:cNvPr>
          <xdr:cNvSpPr>
            <a:spLocks noChangeArrowheads="1"/>
          </xdr:cNvSpPr>
        </xdr:nvSpPr>
        <xdr:spPr bwMode="auto">
          <a:xfrm rot="16200000">
            <a:off x="14068280" y="16802374"/>
            <a:ext cx="967797" cy="289245"/>
          </a:xfrm>
          <a:prstGeom prst="rect">
            <a:avLst/>
          </a:prstGeom>
          <a:solidFill>
            <a:schemeClr val="tx2"/>
          </a:solidFill>
          <a:ln>
            <a:noFill/>
          </a:ln>
          <a:effectLst/>
          <a:extLs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lIns="111125" tIns="55562" rIns="111125" bIns="55562">
            <a:spAutoFit/>
          </a:bodyP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pPr algn="ctr">
              <a:spcBef>
                <a:spcPct val="50000"/>
              </a:spcBef>
            </a:pPr>
            <a:r>
              <a:rPr lang="en-US" altLang="en-US" sz="1200" b="1">
                <a:solidFill>
                  <a:schemeClr val="bg1"/>
                </a:solidFill>
              </a:rPr>
              <a:t>Yellow</a:t>
            </a:r>
          </a:p>
        </xdr:txBody>
      </xdr:sp>
      <xdr:sp macro="" textlink="">
        <xdr:nvSpPr>
          <xdr:cNvPr id="20" name="Rectangle 19">
            <a:extLst>
              <a:ext uri="{FF2B5EF4-FFF2-40B4-BE49-F238E27FC236}">
                <a16:creationId xmlns:a16="http://schemas.microsoft.com/office/drawing/2014/main" id="{00000000-0008-0000-1300-000014000000}"/>
              </a:ext>
            </a:extLst>
          </xdr:cNvPr>
          <xdr:cNvSpPr>
            <a:spLocks noChangeArrowheads="1"/>
          </xdr:cNvSpPr>
        </xdr:nvSpPr>
        <xdr:spPr bwMode="auto">
          <a:xfrm rot="16200000">
            <a:off x="14092886" y="17920046"/>
            <a:ext cx="918586" cy="289245"/>
          </a:xfrm>
          <a:prstGeom prst="rect">
            <a:avLst/>
          </a:prstGeom>
          <a:solidFill>
            <a:schemeClr val="tx2"/>
          </a:solidFill>
          <a:ln>
            <a:noFill/>
          </a:ln>
          <a:effectLst/>
          <a:extLst>
            <a:ext uri="{91240B29-F687-4F45-9708-019B960494DF}">
              <a14:hiddenLine xmlns:a14="http://schemas.microsoft.com/office/drawing/2010/main" w="9525">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lIns="111125" tIns="55562" rIns="111125" bIns="55562">
            <a:spAutoFit/>
          </a:bodyP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pPr algn="ctr">
              <a:spcBef>
                <a:spcPct val="50000"/>
              </a:spcBef>
            </a:pPr>
            <a:r>
              <a:rPr lang="en-US" altLang="en-US" sz="1200" b="1">
                <a:solidFill>
                  <a:schemeClr val="bg1"/>
                </a:solidFill>
              </a:rPr>
              <a:t>Green</a:t>
            </a:r>
          </a:p>
        </xdr:txBody>
      </xdr:sp>
      <xdr:sp macro="" textlink="">
        <xdr:nvSpPr>
          <xdr:cNvPr id="21" name="Rectangle 20">
            <a:extLst>
              <a:ext uri="{FF2B5EF4-FFF2-40B4-BE49-F238E27FC236}">
                <a16:creationId xmlns:a16="http://schemas.microsoft.com/office/drawing/2014/main" id="{00000000-0008-0000-1300-000015000000}"/>
              </a:ext>
            </a:extLst>
          </xdr:cNvPr>
          <xdr:cNvSpPr>
            <a:spLocks noChangeArrowheads="1"/>
          </xdr:cNvSpPr>
        </xdr:nvSpPr>
        <xdr:spPr bwMode="auto">
          <a:xfrm>
            <a:off x="18354243" y="17211243"/>
            <a:ext cx="1031730" cy="501362"/>
          </a:xfrm>
          <a:prstGeom prst="rect">
            <a:avLst/>
          </a:prstGeom>
          <a:solidFill>
            <a:schemeClr val="bg1"/>
          </a:solidFill>
          <a:ln w="12700">
            <a:solidFill>
              <a:schemeClr val="tx2"/>
            </a:solidFill>
            <a:miter lim="800000"/>
            <a:headEnd/>
            <a:tailEnd/>
          </a:ln>
          <a:effectLst>
            <a:outerShdw dist="53882" dir="2700000" algn="ctr" rotWithShape="0">
              <a:schemeClr val="bg2"/>
            </a:outerShdw>
          </a:effectLst>
        </xdr:spPr>
        <xdr:txBody>
          <a:bodyPr wrap="square" lIns="87312" tIns="44450" rIns="87312" bIns="44450">
            <a:spAutoFit/>
          </a:bodyP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pPr algn="ctr"/>
            <a:r>
              <a:rPr lang="en-US" altLang="en-US" sz="1900" b="1"/>
              <a:t>15%</a:t>
            </a:r>
          </a:p>
        </xdr:txBody>
      </xdr:sp>
      <xdr:sp macro="" textlink="">
        <xdr:nvSpPr>
          <xdr:cNvPr id="22" name="Rectangle 21">
            <a:extLst>
              <a:ext uri="{FF2B5EF4-FFF2-40B4-BE49-F238E27FC236}">
                <a16:creationId xmlns:a16="http://schemas.microsoft.com/office/drawing/2014/main" id="{00000000-0008-0000-1300-000016000000}"/>
              </a:ext>
            </a:extLst>
          </xdr:cNvPr>
          <xdr:cNvSpPr>
            <a:spLocks noChangeArrowheads="1"/>
          </xdr:cNvSpPr>
        </xdr:nvSpPr>
        <xdr:spPr bwMode="auto">
          <a:xfrm>
            <a:off x="15463261" y="12275132"/>
            <a:ext cx="3281507" cy="1588513"/>
          </a:xfrm>
          <a:prstGeom prst="rect">
            <a:avLst/>
          </a:prstGeom>
          <a:solidFill>
            <a:schemeClr val="accent1"/>
          </a:solidFill>
          <a:ln>
            <a:noFill/>
          </a:ln>
          <a:effectLst/>
        </xdr:spPr>
        <xdr:txBody>
          <a:bodyPr wrap="square" lIns="87312" tIns="44450" rIns="87312" bIns="44450">
            <a:noAutofit/>
          </a:bodyP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pPr algn="ctr">
              <a:spcBef>
                <a:spcPct val="50000"/>
              </a:spcBef>
            </a:pPr>
            <a:r>
              <a:rPr lang="en-US" altLang="en-US" sz="1400" b="1">
                <a:solidFill>
                  <a:schemeClr val="bg1"/>
                </a:solidFill>
              </a:rPr>
              <a:t>(2) PRESENT STATUS: </a:t>
            </a:r>
            <a:br>
              <a:rPr lang="en-US" altLang="en-US" sz="1200" b="1">
                <a:solidFill>
                  <a:schemeClr val="bg1"/>
                </a:solidFill>
              </a:rPr>
            </a:br>
            <a:r>
              <a:rPr lang="en-US" altLang="en-US" sz="1200" b="1">
                <a:solidFill>
                  <a:schemeClr val="bg1"/>
                </a:solidFill>
              </a:rPr>
              <a:t>Is my measurement variation be too large right now, compared to a realistic estimate of current process spread (which may be narrower next year)?</a:t>
            </a:r>
          </a:p>
        </xdr:txBody>
      </xdr:sp>
      <xdr:sp macro="" textlink="">
        <xdr:nvSpPr>
          <xdr:cNvPr id="23" name="AutoShape 81">
            <a:extLst>
              <a:ext uri="{FF2B5EF4-FFF2-40B4-BE49-F238E27FC236}">
                <a16:creationId xmlns:a16="http://schemas.microsoft.com/office/drawing/2014/main" id="{00000000-0008-0000-1300-000017000000}"/>
              </a:ext>
            </a:extLst>
          </xdr:cNvPr>
          <xdr:cNvSpPr>
            <a:spLocks noChangeArrowheads="1"/>
          </xdr:cNvSpPr>
        </xdr:nvSpPr>
        <xdr:spPr bwMode="auto">
          <a:xfrm>
            <a:off x="15827087" y="13941432"/>
            <a:ext cx="509588" cy="409288"/>
          </a:xfrm>
          <a:prstGeom prst="downArrow">
            <a:avLst>
              <a:gd name="adj1" fmla="val 50000"/>
              <a:gd name="adj2" fmla="val 50005"/>
            </a:avLst>
          </a:prstGeom>
          <a:solidFill>
            <a:schemeClr val="tx2"/>
          </a:solidFill>
          <a:ln w="12700">
            <a:solidFill>
              <a:schemeClr val="tx1"/>
            </a:solidFill>
            <a:miter lim="800000"/>
            <a:headEnd/>
            <a:tailEnd/>
          </a:ln>
          <a:effectLst>
            <a:outerShdw dist="53882" dir="2700000" algn="ctr" rotWithShape="0">
              <a:schemeClr val="bg2"/>
            </a:outerShdw>
          </a:effec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24" name="AutoShape 82">
            <a:extLst>
              <a:ext uri="{FF2B5EF4-FFF2-40B4-BE49-F238E27FC236}">
                <a16:creationId xmlns:a16="http://schemas.microsoft.com/office/drawing/2014/main" id="{00000000-0008-0000-1300-000018000000}"/>
              </a:ext>
            </a:extLst>
          </xdr:cNvPr>
          <xdr:cNvSpPr>
            <a:spLocks noChangeArrowheads="1"/>
          </xdr:cNvSpPr>
        </xdr:nvSpPr>
        <xdr:spPr bwMode="auto">
          <a:xfrm>
            <a:off x="16781175" y="13927145"/>
            <a:ext cx="509588" cy="407700"/>
          </a:xfrm>
          <a:prstGeom prst="downArrow">
            <a:avLst>
              <a:gd name="adj1" fmla="val 50000"/>
              <a:gd name="adj2" fmla="val 50005"/>
            </a:avLst>
          </a:prstGeom>
          <a:solidFill>
            <a:schemeClr val="tx2"/>
          </a:solidFill>
          <a:ln w="12700">
            <a:solidFill>
              <a:schemeClr val="tx1"/>
            </a:solidFill>
            <a:miter lim="800000"/>
            <a:headEnd/>
            <a:tailEnd/>
          </a:ln>
          <a:effectLst>
            <a:outerShdw dist="53882" dir="2700000" algn="ctr" rotWithShape="0">
              <a:schemeClr val="bg2"/>
            </a:outerShdw>
          </a:effec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sp macro="" textlink="">
        <xdr:nvSpPr>
          <xdr:cNvPr id="25" name="AutoShape 83">
            <a:extLst>
              <a:ext uri="{FF2B5EF4-FFF2-40B4-BE49-F238E27FC236}">
                <a16:creationId xmlns:a16="http://schemas.microsoft.com/office/drawing/2014/main" id="{00000000-0008-0000-1300-000019000000}"/>
              </a:ext>
            </a:extLst>
          </xdr:cNvPr>
          <xdr:cNvSpPr>
            <a:spLocks noChangeArrowheads="1"/>
          </xdr:cNvSpPr>
        </xdr:nvSpPr>
        <xdr:spPr bwMode="auto">
          <a:xfrm>
            <a:off x="18139930" y="13939845"/>
            <a:ext cx="509588" cy="409288"/>
          </a:xfrm>
          <a:prstGeom prst="downArrow">
            <a:avLst>
              <a:gd name="adj1" fmla="val 50000"/>
              <a:gd name="adj2" fmla="val 50005"/>
            </a:avLst>
          </a:prstGeom>
          <a:solidFill>
            <a:schemeClr val="tx2"/>
          </a:solidFill>
          <a:ln w="12700">
            <a:solidFill>
              <a:schemeClr val="tx1"/>
            </a:solidFill>
            <a:miter lim="800000"/>
            <a:headEnd/>
            <a:tailEnd/>
          </a:ln>
          <a:effectLst>
            <a:outerShdw dist="53882" dir="2700000" algn="ctr" rotWithShape="0">
              <a:schemeClr val="bg2"/>
            </a:outerShdw>
          </a:effectLst>
        </xdr:spPr>
        <xdr:txBody>
          <a:bodyPr wrap="square" anchor="ctr"/>
          <a:lstStyle>
            <a:defPPr>
              <a:defRPr lang="en-US"/>
            </a:defPPr>
            <a:lvl1pPr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1pPr>
            <a:lvl2pPr marL="4572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2pPr>
            <a:lvl3pPr marL="9144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3pPr>
            <a:lvl4pPr marL="13716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4pPr>
            <a:lvl5pPr marL="1828800" algn="ctr" rtl="0" eaLnBrk="0" fontAlgn="base" hangingPunct="0">
              <a:spcBef>
                <a:spcPct val="50000"/>
              </a:spcBef>
              <a:spcAft>
                <a:spcPct val="0"/>
              </a:spcAft>
              <a:defRPr kern="1200">
                <a:solidFill>
                  <a:schemeClr val="tx2"/>
                </a:solidFill>
                <a:latin typeface="Arial" panose="020B0604020202020204" pitchFamily="34" charset="0"/>
                <a:ea typeface="+mn-ea"/>
                <a:cs typeface="+mn-cs"/>
              </a:defRPr>
            </a:lvl5pPr>
            <a:lvl6pPr marL="2286000" algn="l" defTabSz="914400" rtl="0" eaLnBrk="1" latinLnBrk="0" hangingPunct="1">
              <a:defRPr kern="1200">
                <a:solidFill>
                  <a:schemeClr val="tx2"/>
                </a:solidFill>
                <a:latin typeface="Arial" panose="020B0604020202020204" pitchFamily="34" charset="0"/>
                <a:ea typeface="+mn-ea"/>
                <a:cs typeface="+mn-cs"/>
              </a:defRPr>
            </a:lvl6pPr>
            <a:lvl7pPr marL="2743200" algn="l" defTabSz="914400" rtl="0" eaLnBrk="1" latinLnBrk="0" hangingPunct="1">
              <a:defRPr kern="1200">
                <a:solidFill>
                  <a:schemeClr val="tx2"/>
                </a:solidFill>
                <a:latin typeface="Arial" panose="020B0604020202020204" pitchFamily="34" charset="0"/>
                <a:ea typeface="+mn-ea"/>
                <a:cs typeface="+mn-cs"/>
              </a:defRPr>
            </a:lvl7pPr>
            <a:lvl8pPr marL="3200400" algn="l" defTabSz="914400" rtl="0" eaLnBrk="1" latinLnBrk="0" hangingPunct="1">
              <a:defRPr kern="1200">
                <a:solidFill>
                  <a:schemeClr val="tx2"/>
                </a:solidFill>
                <a:latin typeface="Arial" panose="020B0604020202020204" pitchFamily="34" charset="0"/>
                <a:ea typeface="+mn-ea"/>
                <a:cs typeface="+mn-cs"/>
              </a:defRPr>
            </a:lvl8pPr>
            <a:lvl9pPr marL="3657600" algn="l" defTabSz="914400" rtl="0" eaLnBrk="1" latinLnBrk="0" hangingPunct="1">
              <a:defRPr kern="1200">
                <a:solidFill>
                  <a:schemeClr val="tx2"/>
                </a:solidFill>
                <a:latin typeface="Arial" panose="020B0604020202020204" pitchFamily="34" charset="0"/>
                <a:ea typeface="+mn-ea"/>
                <a:cs typeface="+mn-cs"/>
              </a:defRPr>
            </a:lvl9pPr>
          </a:lstStyle>
          <a:p>
            <a:endParaRPr lang="en-GB"/>
          </a:p>
        </xdr:txBody>
      </xdr:sp>
    </xdr:grpSp>
    <xdr:clientData/>
  </xdr:twoCellAnchor>
  <xdr:twoCellAnchor>
    <xdr:from>
      <xdr:col>23</xdr:col>
      <xdr:colOff>590963</xdr:colOff>
      <xdr:row>27</xdr:row>
      <xdr:rowOff>186689</xdr:rowOff>
    </xdr:from>
    <xdr:to>
      <xdr:col>31</xdr:col>
      <xdr:colOff>45720</xdr:colOff>
      <xdr:row>40</xdr:row>
      <xdr:rowOff>87630</xdr:rowOff>
    </xdr:to>
    <xdr:graphicFrame macro="">
      <xdr:nvGraphicFramePr>
        <xdr:cNvPr id="77" name="Chart 76">
          <a:extLst>
            <a:ext uri="{FF2B5EF4-FFF2-40B4-BE49-F238E27FC236}">
              <a16:creationId xmlns:a16="http://schemas.microsoft.com/office/drawing/2014/main" id="{00000000-0008-0000-1300-00004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23</xdr:col>
      <xdr:colOff>589722</xdr:colOff>
      <xdr:row>40</xdr:row>
      <xdr:rowOff>19050</xdr:rowOff>
    </xdr:from>
    <xdr:to>
      <xdr:col>31</xdr:col>
      <xdr:colOff>57150</xdr:colOff>
      <xdr:row>51</xdr:row>
      <xdr:rowOff>180561</xdr:rowOff>
    </xdr:to>
    <xdr:graphicFrame macro="">
      <xdr:nvGraphicFramePr>
        <xdr:cNvPr id="78" name="Chart 77">
          <a:extLst>
            <a:ext uri="{FF2B5EF4-FFF2-40B4-BE49-F238E27FC236}">
              <a16:creationId xmlns:a16="http://schemas.microsoft.com/office/drawing/2014/main" id="{00000000-0008-0000-1300-00004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7</xdr:col>
      <xdr:colOff>66674</xdr:colOff>
      <xdr:row>0</xdr:row>
      <xdr:rowOff>190501</xdr:rowOff>
    </xdr:from>
    <xdr:to>
      <xdr:col>16</xdr:col>
      <xdr:colOff>523875</xdr:colOff>
      <xdr:row>19</xdr:row>
      <xdr:rowOff>152401</xdr:rowOff>
    </xdr:to>
    <xdr:graphicFrame macro="">
      <xdr:nvGraphicFramePr>
        <xdr:cNvPr id="2" name="Chart 1">
          <a:extLst>
            <a:ext uri="{FF2B5EF4-FFF2-40B4-BE49-F238E27FC236}">
              <a16:creationId xmlns:a16="http://schemas.microsoft.com/office/drawing/2014/main" id="{00000000-0008-0000-1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88265</xdr:colOff>
      <xdr:row>20</xdr:row>
      <xdr:rowOff>99058</xdr:rowOff>
    </xdr:from>
    <xdr:to>
      <xdr:col>19</xdr:col>
      <xdr:colOff>126365</xdr:colOff>
      <xdr:row>36</xdr:row>
      <xdr:rowOff>174171</xdr:rowOff>
    </xdr:to>
    <xdr:sp macro="" textlink="">
      <xdr:nvSpPr>
        <xdr:cNvPr id="3" name="TextBox 2">
          <a:extLst>
            <a:ext uri="{FF2B5EF4-FFF2-40B4-BE49-F238E27FC236}">
              <a16:creationId xmlns:a16="http://schemas.microsoft.com/office/drawing/2014/main" id="{00000000-0008-0000-1400-000003000000}"/>
            </a:ext>
          </a:extLst>
        </xdr:cNvPr>
        <xdr:cNvSpPr txBox="1"/>
      </xdr:nvSpPr>
      <xdr:spPr>
        <a:xfrm>
          <a:off x="7870190" y="4290058"/>
          <a:ext cx="7467600" cy="3123113"/>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latin typeface="+mn-lt"/>
            </a:rPr>
            <a:t>Histograms</a:t>
          </a:r>
          <a:r>
            <a:rPr lang="en-GB" sz="1100" b="0">
              <a:latin typeface="+mn-lt"/>
            </a:rPr>
            <a:t> enable</a:t>
          </a:r>
          <a:r>
            <a:rPr lang="en-GB" sz="1100" b="0" baseline="0">
              <a:latin typeface="+mn-lt"/>
            </a:rPr>
            <a:t> to visualise continuous data as well as discrete data with high counts (e.g., tota dfecets over the period of time). You can also produced them manually in Excel 2016 onward) or via the analysis pack.</a:t>
          </a:r>
          <a:endParaRPr lang="en-GB" sz="1100" b="0">
            <a:latin typeface="+mn-lt"/>
          </a:endParaRPr>
        </a:p>
        <a:p>
          <a:r>
            <a:rPr lang="en-GB" sz="1100" b="0">
              <a:latin typeface="+mn-lt"/>
            </a:rPr>
            <a:t>This worksheet produces a histogram of the data in </a:t>
          </a:r>
          <a:r>
            <a:rPr lang="en-GB" sz="1100" b="1">
              <a:latin typeface="+mn-lt"/>
            </a:rPr>
            <a:t>col A.</a:t>
          </a:r>
          <a:r>
            <a:rPr lang="en-GB" sz="1100" b="0">
              <a:latin typeface="+mn-lt"/>
            </a:rPr>
            <a:t> It includes</a:t>
          </a:r>
          <a:r>
            <a:rPr lang="en-GB" sz="1100" b="0" baseline="0">
              <a:latin typeface="+mn-lt"/>
            </a:rPr>
            <a:t> a line plot of what a normal data distribution would look like for the average and standard deviation of the data entered, providing a visual reference you can use to assess if the data is normal, it also prints some key information on the chart. </a:t>
          </a:r>
        </a:p>
        <a:p>
          <a:r>
            <a:rPr lang="en-GB" sz="1100" b="0" baseline="0">
              <a:latin typeface="+mn-lt"/>
            </a:rPr>
            <a:t>To test the normality, please enter your data in the "AD Normality Test" worksheet.  This will populate the cell G20 and G21.  This is provide many of the basic statistics available in the Minitab Graphical Summary function.</a:t>
          </a:r>
        </a:p>
        <a:p>
          <a:endParaRPr lang="en-GB" sz="1100" b="1">
            <a:latin typeface="+mn-lt"/>
          </a:endParaRPr>
        </a:p>
        <a:p>
          <a:r>
            <a:rPr lang="en-GB" sz="1100" b="1">
              <a:latin typeface="+mn-lt"/>
            </a:rPr>
            <a:t>Instructions</a:t>
          </a:r>
        </a:p>
        <a:p>
          <a:r>
            <a:rPr lang="en-GB" sz="1100">
              <a:latin typeface="+mn-lt"/>
            </a:rPr>
            <a:t>Remove any exitsing data in column</a:t>
          </a:r>
          <a:r>
            <a:rPr lang="en-GB" sz="1100" baseline="0">
              <a:latin typeface="+mn-lt"/>
            </a:rPr>
            <a:t> A, then p</a:t>
          </a:r>
          <a:r>
            <a:rPr lang="en-GB" sz="1100">
              <a:latin typeface="+mn-lt"/>
            </a:rPr>
            <a:t>aste your data into column A</a:t>
          </a:r>
        </a:p>
        <a:p>
          <a:r>
            <a:rPr lang="en-GB" sz="1100">
              <a:latin typeface="+mn-lt"/>
            </a:rPr>
            <a:t>Chose your Bins in column B, these should cover the range of the data and be equal in size - </a:t>
          </a:r>
          <a:r>
            <a:rPr lang="en-GB" sz="1100" b="1">
              <a:latin typeface="+mn-lt"/>
            </a:rPr>
            <a:t>if you keep at 13 bins then the spread sheet will do this for you</a:t>
          </a:r>
          <a:r>
            <a:rPr lang="en-GB" sz="1100">
              <a:latin typeface="+mn-lt"/>
            </a:rPr>
            <a:t>, if you extend past 13 bins you will need to extend the formulae in columns</a:t>
          </a:r>
          <a:r>
            <a:rPr lang="en-GB" sz="1100" baseline="0">
              <a:latin typeface="+mn-lt"/>
            </a:rPr>
            <a:t> </a:t>
          </a:r>
          <a:r>
            <a:rPr lang="en-GB" sz="1100">
              <a:latin typeface="+mn-lt"/>
            </a:rPr>
            <a:t>C &amp; D.</a:t>
          </a:r>
        </a:p>
        <a:p>
          <a:r>
            <a:rPr lang="en-GB" sz="1100">
              <a:solidFill>
                <a:schemeClr val="dk1"/>
              </a:solidFill>
              <a:latin typeface="+mn-lt"/>
              <a:ea typeface="+mn-ea"/>
              <a:cs typeface="+mn-cs"/>
            </a:rPr>
            <a:t>Enter your data in the "AD Normality Test" worksheet, column</a:t>
          </a:r>
          <a:r>
            <a:rPr lang="en-GB" sz="1100" baseline="0">
              <a:solidFill>
                <a:schemeClr val="dk1"/>
              </a:solidFill>
              <a:latin typeface="+mn-lt"/>
              <a:ea typeface="+mn-ea"/>
              <a:cs typeface="+mn-cs"/>
            </a:rPr>
            <a:t> A in the inputs cells. The file will work with up-to and including 500 rows of data.</a:t>
          </a:r>
        </a:p>
        <a:p>
          <a:r>
            <a:rPr lang="en-GB" sz="1100" baseline="0">
              <a:solidFill>
                <a:schemeClr val="dk1"/>
              </a:solidFill>
              <a:latin typeface="+mn-lt"/>
              <a:ea typeface="+mn-ea"/>
              <a:cs typeface="+mn-cs"/>
            </a:rPr>
            <a:t>The graphs and values on the graphs will autonatically update.</a:t>
          </a:r>
          <a:endParaRPr lang="en-GB" sz="1100">
            <a:solidFill>
              <a:schemeClr val="dk1"/>
            </a:solidFill>
            <a:latin typeface="+mn-lt"/>
            <a:ea typeface="+mn-ea"/>
            <a:cs typeface="+mn-cs"/>
          </a:endParaRPr>
        </a:p>
        <a:p>
          <a:r>
            <a:rPr lang="en-GB" sz="1100">
              <a:latin typeface="+mn-lt"/>
            </a:rPr>
            <a:t>Visually compare the histogram with the line graph, or use the yellow cell for</a:t>
          </a:r>
          <a:r>
            <a:rPr lang="en-GB" sz="1100" baseline="0">
              <a:latin typeface="+mn-lt"/>
            </a:rPr>
            <a:t> a statistical test of Normality.</a:t>
          </a:r>
          <a:endParaRPr lang="en-GB" sz="1100">
            <a:latin typeface="+mn-lt"/>
          </a:endParaRPr>
        </a:p>
        <a:p>
          <a:r>
            <a:rPr lang="en-GB" sz="1200" b="1">
              <a:solidFill>
                <a:srgbClr val="FF0000"/>
              </a:solidFill>
              <a:effectLst/>
              <a:latin typeface="+mn-lt"/>
              <a:ea typeface="+mn-ea"/>
              <a:cs typeface="+mn-cs"/>
            </a:rPr>
            <a:t>Please do not change</a:t>
          </a:r>
          <a:r>
            <a:rPr lang="en-GB" sz="1200" b="1" baseline="0">
              <a:solidFill>
                <a:srgbClr val="FF0000"/>
              </a:solidFill>
              <a:effectLst/>
              <a:latin typeface="+mn-lt"/>
              <a:ea typeface="+mn-ea"/>
              <a:cs typeface="+mn-cs"/>
            </a:rPr>
            <a:t> the calculated cells )grey background with orange font)</a:t>
          </a:r>
          <a:endParaRPr lang="en-GB">
            <a:solidFill>
              <a:srgbClr val="FF0000"/>
            </a:solidFill>
            <a:effectLst/>
          </a:endParaRPr>
        </a:p>
      </xdr:txBody>
    </xdr:sp>
    <xdr:clientData/>
  </xdr:twoCellAnchor>
  <xdr:twoCellAnchor>
    <xdr:from>
      <xdr:col>16</xdr:col>
      <xdr:colOff>523876</xdr:colOff>
      <xdr:row>0</xdr:row>
      <xdr:rowOff>314325</xdr:rowOff>
    </xdr:from>
    <xdr:to>
      <xdr:col>19</xdr:col>
      <xdr:colOff>123825</xdr:colOff>
      <xdr:row>20</xdr:row>
      <xdr:rowOff>4761</xdr:rowOff>
    </xdr:to>
    <xdr:graphicFrame macro="">
      <xdr:nvGraphicFramePr>
        <xdr:cNvPr id="4" name="Chart 3">
          <a:extLst>
            <a:ext uri="{FF2B5EF4-FFF2-40B4-BE49-F238E27FC236}">
              <a16:creationId xmlns:a16="http://schemas.microsoft.com/office/drawing/2014/main" id="{00000000-0008-0000-14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0.xml><?xml version="1.0" encoding="utf-8"?>
<c:userShapes xmlns:c="http://schemas.openxmlformats.org/drawingml/2006/chart">
  <cdr:relSizeAnchor xmlns:cdr="http://schemas.openxmlformats.org/drawingml/2006/chartDrawing">
    <cdr:from>
      <cdr:x>0.13782</cdr:x>
      <cdr:y>0.08511</cdr:y>
    </cdr:from>
    <cdr:to>
      <cdr:x>0.36058</cdr:x>
      <cdr:y>0.15957</cdr:y>
    </cdr:to>
    <cdr:sp macro="" textlink="">
      <cdr:nvSpPr>
        <cdr:cNvPr id="2" name="TextBox 1"/>
        <cdr:cNvSpPr txBox="1"/>
      </cdr:nvSpPr>
      <cdr:spPr>
        <a:xfrm xmlns:a="http://schemas.openxmlformats.org/drawingml/2006/main">
          <a:off x="819151" y="304799"/>
          <a:ext cx="1323975" cy="2667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0.61273</cdr:x>
      <cdr:y>0.08511</cdr:y>
    </cdr:from>
    <cdr:to>
      <cdr:x>0.98995</cdr:x>
      <cdr:y>0.1603</cdr:y>
    </cdr:to>
    <cdr:sp macro="" textlink="'Graphical Summary'!$G$29">
      <cdr:nvSpPr>
        <cdr:cNvPr id="3" name="TextBox 2"/>
        <cdr:cNvSpPr txBox="1"/>
      </cdr:nvSpPr>
      <cdr:spPr>
        <a:xfrm xmlns:a="http://schemas.openxmlformats.org/drawingml/2006/main">
          <a:off x="3731841" y="339556"/>
          <a:ext cx="2297486" cy="29997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r"/>
          <a:fld id="{7AA42372-D9A0-4AE7-A12B-8AB14C534937}" type="TxLink">
            <a:rPr lang="en-GB" sz="1100" b="0" i="1" u="none" strike="noStrike">
              <a:solidFill>
                <a:sysClr val="windowText" lastClr="000000"/>
              </a:solidFill>
              <a:latin typeface="+mj-lt"/>
              <a:ea typeface="Calibri"/>
              <a:cs typeface="Calibri"/>
            </a:rPr>
            <a:pPr algn="r"/>
            <a:t>Average= 149.71 (148.91 - 150.5 at 95% confidence)</a:t>
          </a:fld>
          <a:endParaRPr lang="en-GB" sz="1100">
            <a:solidFill>
              <a:sysClr val="windowText" lastClr="000000"/>
            </a:solidFill>
            <a:latin typeface="+mj-lt"/>
          </a:endParaRPr>
        </a:p>
      </cdr:txBody>
    </cdr:sp>
  </cdr:relSizeAnchor>
  <cdr:relSizeAnchor xmlns:cdr="http://schemas.openxmlformats.org/drawingml/2006/chartDrawing">
    <cdr:from>
      <cdr:x>0.65019</cdr:x>
      <cdr:y>0.13032</cdr:y>
    </cdr:from>
    <cdr:to>
      <cdr:x>0.98995</cdr:x>
      <cdr:y>0.21089</cdr:y>
    </cdr:to>
    <cdr:sp macro="" textlink="'Graphical Summary'!$G$30">
      <cdr:nvSpPr>
        <cdr:cNvPr id="4" name="TextBox 3"/>
        <cdr:cNvSpPr txBox="1"/>
      </cdr:nvSpPr>
      <cdr:spPr>
        <a:xfrm xmlns:a="http://schemas.openxmlformats.org/drawingml/2006/main">
          <a:off x="3960037" y="519926"/>
          <a:ext cx="2069290" cy="321452"/>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r"/>
          <a:fld id="{C220441C-063C-4D4C-8008-406AB7692CCD}" type="TxLink">
            <a:rPr lang="en-GB" sz="1100" b="0" i="1" u="none" strike="noStrike">
              <a:solidFill>
                <a:schemeClr val="accent3"/>
              </a:solidFill>
              <a:latin typeface="+mj-lt"/>
              <a:ea typeface="Calibri"/>
              <a:cs typeface="Calibri"/>
            </a:rPr>
            <a:pPr algn="r"/>
            <a:t>Median= 149.2,  StDev= 2.88</a:t>
          </a:fld>
          <a:endParaRPr lang="en-GB" sz="1100">
            <a:solidFill>
              <a:schemeClr val="accent3"/>
            </a:solidFill>
            <a:latin typeface="+mj-lt"/>
          </a:endParaRPr>
        </a:p>
      </cdr:txBody>
    </cdr:sp>
  </cdr:relSizeAnchor>
  <cdr:relSizeAnchor xmlns:cdr="http://schemas.openxmlformats.org/drawingml/2006/chartDrawing">
    <cdr:from>
      <cdr:x>0.4895</cdr:x>
      <cdr:y>0.17287</cdr:y>
    </cdr:from>
    <cdr:to>
      <cdr:x>0.98995</cdr:x>
      <cdr:y>0.22461</cdr:y>
    </cdr:to>
    <cdr:sp macro="" textlink="'Graphical Summary'!$G$31">
      <cdr:nvSpPr>
        <cdr:cNvPr id="5" name="TextBox 4"/>
        <cdr:cNvSpPr txBox="1"/>
      </cdr:nvSpPr>
      <cdr:spPr>
        <a:xfrm xmlns:a="http://schemas.openxmlformats.org/drawingml/2006/main">
          <a:off x="2981326" y="722617"/>
          <a:ext cx="3048002" cy="2162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r"/>
          <a:fld id="{AF294602-29AF-4FBD-ADB4-D9186E193FEF}" type="TxLink">
            <a:rPr lang="en-GB" sz="1100" b="0" i="1" u="none" strike="noStrike">
              <a:solidFill>
                <a:sysClr val="windowText" lastClr="000000"/>
              </a:solidFill>
              <a:latin typeface="+mj-lt"/>
              <a:ea typeface="Calibri"/>
              <a:cs typeface="Calibri"/>
            </a:rPr>
            <a:pPr algn="r"/>
            <a:t>Distribution: not  normally distributed, p= 0.032</a:t>
          </a:fld>
          <a:endParaRPr lang="en-GB" sz="1100">
            <a:solidFill>
              <a:sysClr val="windowText" lastClr="000000"/>
            </a:solidFill>
            <a:latin typeface="+mj-lt"/>
          </a:endParaRPr>
        </a:p>
      </cdr:txBody>
    </cdr:sp>
  </cdr:relSizeAnchor>
  <cdr:relSizeAnchor xmlns:cdr="http://schemas.openxmlformats.org/drawingml/2006/chartDrawing">
    <cdr:from>
      <cdr:x>0.81633</cdr:x>
      <cdr:y>0.21543</cdr:y>
    </cdr:from>
    <cdr:to>
      <cdr:x>0.98995</cdr:x>
      <cdr:y>0.27183</cdr:y>
    </cdr:to>
    <cdr:sp macro="" textlink="'Graphical Summary'!$G$32">
      <cdr:nvSpPr>
        <cdr:cNvPr id="6" name="TextBox 5"/>
        <cdr:cNvSpPr txBox="1"/>
      </cdr:nvSpPr>
      <cdr:spPr>
        <a:xfrm xmlns:a="http://schemas.openxmlformats.org/drawingml/2006/main">
          <a:off x="4971895" y="859483"/>
          <a:ext cx="1057432" cy="22500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r"/>
          <a:fld id="{117FAB32-B30F-46FC-A697-1E8F7CCFCA51}" type="TxLink">
            <a:rPr lang="en-GB" sz="1100" b="0" i="1" u="none" strike="noStrike">
              <a:solidFill>
                <a:schemeClr val="accent3"/>
              </a:solidFill>
              <a:latin typeface="+mj-lt"/>
              <a:ea typeface="Calibri"/>
              <a:cs typeface="Calibri"/>
            </a:rPr>
            <a:pPr algn="r"/>
            <a:t>n= 50</a:t>
          </a:fld>
          <a:endParaRPr lang="en-GB" sz="1100">
            <a:solidFill>
              <a:schemeClr val="accent3"/>
            </a:solidFill>
            <a:latin typeface="+mj-lt"/>
          </a:endParaRPr>
        </a:p>
      </cdr:txBody>
    </cdr:sp>
  </cdr:relSizeAnchor>
</c:userShapes>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95250</xdr:colOff>
          <xdr:row>22</xdr:row>
          <xdr:rowOff>57150</xdr:rowOff>
        </xdr:from>
        <xdr:to>
          <xdr:col>12</xdr:col>
          <xdr:colOff>95250</xdr:colOff>
          <xdr:row>24</xdr:row>
          <xdr:rowOff>95250</xdr:rowOff>
        </xdr:to>
        <xdr:sp macro="" textlink="">
          <xdr:nvSpPr>
            <xdr:cNvPr id="103425" name="Object 1" hidden="1">
              <a:extLst>
                <a:ext uri="{63B3BB69-23CF-44E3-9099-C40C66FF867C}">
                  <a14:compatExt spid="_x0000_s103425"/>
                </a:ext>
                <a:ext uri="{FF2B5EF4-FFF2-40B4-BE49-F238E27FC236}">
                  <a16:creationId xmlns:a16="http://schemas.microsoft.com/office/drawing/2014/main" id="{00000000-0008-0000-1500-0000019401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25</xdr:row>
          <xdr:rowOff>57150</xdr:rowOff>
        </xdr:from>
        <xdr:to>
          <xdr:col>10</xdr:col>
          <xdr:colOff>133350</xdr:colOff>
          <xdr:row>27</xdr:row>
          <xdr:rowOff>114300</xdr:rowOff>
        </xdr:to>
        <xdr:sp macro="" textlink="">
          <xdr:nvSpPr>
            <xdr:cNvPr id="103426" name="Object 2" hidden="1">
              <a:extLst>
                <a:ext uri="{63B3BB69-23CF-44E3-9099-C40C66FF867C}">
                  <a14:compatExt spid="_x0000_s103426"/>
                </a:ext>
                <a:ext uri="{FF2B5EF4-FFF2-40B4-BE49-F238E27FC236}">
                  <a16:creationId xmlns:a16="http://schemas.microsoft.com/office/drawing/2014/main" id="{00000000-0008-0000-1500-000002940100}"/>
                </a:ext>
              </a:extLst>
            </xdr:cNvPr>
            <xdr:cNvSpPr/>
          </xdr:nvSpPr>
          <xdr:spPr bwMode="auto">
            <a:xfrm>
              <a:off x="0" y="0"/>
              <a:ext cx="0" cy="0"/>
            </a:xfrm>
            <a:prstGeom prst="rect">
              <a:avLst/>
            </a:prstGeom>
            <a:solidFill>
              <a:srgbClr val="FFFFFF"/>
            </a:solidFill>
            <a:ln w="9525">
              <a:solidFill>
                <a:srgbClr val="000000"/>
              </a:solidFill>
              <a:miter lim="800000"/>
              <a:headEnd/>
              <a:tailEnd/>
            </a:ln>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xdr:twoCellAnchor>
    <xdr:from>
      <xdr:col>7</xdr:col>
      <xdr:colOff>57150</xdr:colOff>
      <xdr:row>6</xdr:row>
      <xdr:rowOff>180975</xdr:rowOff>
    </xdr:from>
    <xdr:to>
      <xdr:col>14</xdr:col>
      <xdr:colOff>361950</xdr:colOff>
      <xdr:row>21</xdr:row>
      <xdr:rowOff>66675</xdr:rowOff>
    </xdr:to>
    <xdr:graphicFrame macro="">
      <xdr:nvGraphicFramePr>
        <xdr:cNvPr id="2" name="Chart 1">
          <a:extLst>
            <a:ext uri="{FF2B5EF4-FFF2-40B4-BE49-F238E27FC236}">
              <a16:creationId xmlns:a16="http://schemas.microsoft.com/office/drawing/2014/main" id="{00000000-0008-0000-1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85725</xdr:colOff>
      <xdr:row>22</xdr:row>
      <xdr:rowOff>9524</xdr:rowOff>
    </xdr:from>
    <xdr:to>
      <xdr:col>14</xdr:col>
      <xdr:colOff>342900</xdr:colOff>
      <xdr:row>34</xdr:row>
      <xdr:rowOff>60960</xdr:rowOff>
    </xdr:to>
    <xdr:sp macro="" textlink="">
      <xdr:nvSpPr>
        <xdr:cNvPr id="3" name="TextBox 2">
          <a:extLst>
            <a:ext uri="{FF2B5EF4-FFF2-40B4-BE49-F238E27FC236}">
              <a16:creationId xmlns:a16="http://schemas.microsoft.com/office/drawing/2014/main" id="{00000000-0008-0000-1600-000003000000}"/>
            </a:ext>
          </a:extLst>
        </xdr:cNvPr>
        <xdr:cNvSpPr txBox="1"/>
      </xdr:nvSpPr>
      <xdr:spPr>
        <a:xfrm>
          <a:off x="4152900" y="4200524"/>
          <a:ext cx="5038725" cy="2337436"/>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latin typeface="+mn-lt"/>
            </a:rPr>
            <a:t>Box plots </a:t>
          </a:r>
          <a:r>
            <a:rPr lang="en-GB" sz="1100">
              <a:latin typeface="+mn-lt"/>
            </a:rPr>
            <a:t>provide a quick and simple way to visualise </a:t>
          </a:r>
          <a:r>
            <a:rPr lang="en-GB" sz="1100">
              <a:solidFill>
                <a:schemeClr val="dk1"/>
              </a:solidFill>
              <a:effectLst/>
              <a:latin typeface="+mn-lt"/>
              <a:ea typeface="+mn-ea"/>
              <a:cs typeface="+mn-cs"/>
            </a:rPr>
            <a:t>a Continuous</a:t>
          </a:r>
          <a:r>
            <a:rPr lang="en-GB" sz="1100" baseline="0">
              <a:solidFill>
                <a:schemeClr val="dk1"/>
              </a:solidFill>
              <a:effectLst/>
              <a:latin typeface="+mn-lt"/>
              <a:ea typeface="+mn-ea"/>
              <a:cs typeface="+mn-cs"/>
            </a:rPr>
            <a:t> Y CTQ against a discrete X factors with 2 or more levels.</a:t>
          </a:r>
          <a:endParaRPr lang="en-GB" sz="1100" baseline="0">
            <a:latin typeface="+mn-lt"/>
          </a:endParaRPr>
        </a:p>
        <a:p>
          <a:endParaRPr lang="en-GB" sz="1100">
            <a:latin typeface="+mn-lt"/>
          </a:endParaRPr>
        </a:p>
        <a:p>
          <a:r>
            <a:rPr lang="en-GB" sz="1100" b="1">
              <a:latin typeface="+mn-lt"/>
            </a:rPr>
            <a:t>Instructions:</a:t>
          </a:r>
        </a:p>
        <a:p>
          <a:r>
            <a:rPr lang="en-GB" sz="1100">
              <a:latin typeface="+mn-lt"/>
            </a:rPr>
            <a:t>Enter data in columns A, B, C, D and the chart will deliver a box plot for data visualisation</a:t>
          </a:r>
        </a:p>
        <a:p>
          <a:r>
            <a:rPr lang="en-GB" sz="1100">
              <a:latin typeface="+mn-lt"/>
            </a:rPr>
            <a:t>Edit the source data of the chart (or click the chart and drag the rubber</a:t>
          </a:r>
          <a:r>
            <a:rPr lang="en-GB" sz="1100" baseline="0">
              <a:latin typeface="+mn-lt"/>
            </a:rPr>
            <a:t> band) </a:t>
          </a:r>
          <a:r>
            <a:rPr lang="en-GB" sz="1100">
              <a:latin typeface="+mn-lt"/>
            </a:rPr>
            <a:t>if you want to reduce or increase the number of box plots</a:t>
          </a:r>
        </a:p>
        <a:p>
          <a:r>
            <a:rPr lang="en-GB" sz="1100">
              <a:latin typeface="+mn-lt"/>
            </a:rPr>
            <a:t>Enter</a:t>
          </a:r>
          <a:r>
            <a:rPr lang="en-GB" sz="1100" baseline="0">
              <a:latin typeface="+mn-lt"/>
            </a:rPr>
            <a:t> the chart title in the cell indicated.</a:t>
          </a:r>
        </a:p>
        <a:p>
          <a:r>
            <a:rPr lang="en-GB" sz="1100" baseline="0">
              <a:latin typeface="+mn-lt"/>
            </a:rPr>
            <a:t>If you need more levels, insert additional columns between [C] and [D], then insert the same number of columns between [L] and [M].  Copy and drag across the formula from [L] to copy into the added columns.  The graph should automatically update.</a:t>
          </a:r>
        </a:p>
        <a:p>
          <a:endParaRPr lang="en-GB" sz="1100" baseline="0">
            <a:latin typeface="+mn-lt"/>
          </a:endParaRPr>
        </a:p>
        <a:p>
          <a:r>
            <a:rPr lang="en-GB" sz="1100" b="1" baseline="0">
              <a:solidFill>
                <a:srgbClr val="FF0000"/>
              </a:solidFill>
              <a:latin typeface="+mn-lt"/>
            </a:rPr>
            <a:t>Do not edit red text or cells flagged as a calculated field</a:t>
          </a:r>
          <a:endParaRPr lang="en-GB" sz="1100" b="1">
            <a:solidFill>
              <a:srgbClr val="FF0000"/>
            </a:solidFill>
            <a:latin typeface="+mn-lt"/>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7</xdr:col>
      <xdr:colOff>57150</xdr:colOff>
      <xdr:row>6</xdr:row>
      <xdr:rowOff>180975</xdr:rowOff>
    </xdr:from>
    <xdr:to>
      <xdr:col>14</xdr:col>
      <xdr:colOff>361950</xdr:colOff>
      <xdr:row>21</xdr:row>
      <xdr:rowOff>66675</xdr:rowOff>
    </xdr:to>
    <xdr:graphicFrame macro="">
      <xdr:nvGraphicFramePr>
        <xdr:cNvPr id="2" name="Chart 1">
          <a:extLst>
            <a:ext uri="{FF2B5EF4-FFF2-40B4-BE49-F238E27FC236}">
              <a16:creationId xmlns:a16="http://schemas.microsoft.com/office/drawing/2014/main" id="{00000000-0008-0000-1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85725</xdr:colOff>
      <xdr:row>22</xdr:row>
      <xdr:rowOff>9524</xdr:rowOff>
    </xdr:from>
    <xdr:to>
      <xdr:col>14</xdr:col>
      <xdr:colOff>342900</xdr:colOff>
      <xdr:row>34</xdr:row>
      <xdr:rowOff>60960</xdr:rowOff>
    </xdr:to>
    <xdr:sp macro="" textlink="">
      <xdr:nvSpPr>
        <xdr:cNvPr id="3" name="TextBox 2">
          <a:extLst>
            <a:ext uri="{FF2B5EF4-FFF2-40B4-BE49-F238E27FC236}">
              <a16:creationId xmlns:a16="http://schemas.microsoft.com/office/drawing/2014/main" id="{00000000-0008-0000-1700-000003000000}"/>
            </a:ext>
          </a:extLst>
        </xdr:cNvPr>
        <xdr:cNvSpPr txBox="1"/>
      </xdr:nvSpPr>
      <xdr:spPr>
        <a:xfrm>
          <a:off x="4352925" y="5038724"/>
          <a:ext cx="5255895" cy="2794636"/>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latin typeface="+mn-lt"/>
            </a:rPr>
            <a:t>Box plots </a:t>
          </a:r>
          <a:r>
            <a:rPr lang="en-GB" sz="1100">
              <a:latin typeface="+mn-lt"/>
            </a:rPr>
            <a:t>provide a quick and simple way to visualise </a:t>
          </a:r>
          <a:r>
            <a:rPr lang="en-GB" sz="1100">
              <a:solidFill>
                <a:schemeClr val="dk1"/>
              </a:solidFill>
              <a:effectLst/>
              <a:latin typeface="+mn-lt"/>
              <a:ea typeface="+mn-ea"/>
              <a:cs typeface="+mn-cs"/>
            </a:rPr>
            <a:t>a Continuous</a:t>
          </a:r>
          <a:r>
            <a:rPr lang="en-GB" sz="1100" baseline="0">
              <a:solidFill>
                <a:schemeClr val="dk1"/>
              </a:solidFill>
              <a:effectLst/>
              <a:latin typeface="+mn-lt"/>
              <a:ea typeface="+mn-ea"/>
              <a:cs typeface="+mn-cs"/>
            </a:rPr>
            <a:t> Y CTQ against a discrete X factors with 2 or more levels.</a:t>
          </a:r>
          <a:endParaRPr lang="en-GB" sz="1100" baseline="0">
            <a:latin typeface="+mn-lt"/>
          </a:endParaRPr>
        </a:p>
        <a:p>
          <a:endParaRPr lang="en-GB" sz="1100">
            <a:latin typeface="+mn-lt"/>
          </a:endParaRPr>
        </a:p>
        <a:p>
          <a:r>
            <a:rPr lang="en-GB" sz="1100" b="1">
              <a:latin typeface="+mn-lt"/>
            </a:rPr>
            <a:t>Instructions:</a:t>
          </a:r>
        </a:p>
        <a:p>
          <a:r>
            <a:rPr lang="en-GB" sz="1100">
              <a:latin typeface="+mn-lt"/>
            </a:rPr>
            <a:t>Enter data in columns A, B, C, D and the chart will deliver a box plot for data visualisation</a:t>
          </a:r>
        </a:p>
        <a:p>
          <a:r>
            <a:rPr lang="en-GB" sz="1100">
              <a:latin typeface="+mn-lt"/>
            </a:rPr>
            <a:t>Edit the source data of the chart (or click the chart and drag the rubber</a:t>
          </a:r>
          <a:r>
            <a:rPr lang="en-GB" sz="1100" baseline="0">
              <a:latin typeface="+mn-lt"/>
            </a:rPr>
            <a:t> band) </a:t>
          </a:r>
          <a:r>
            <a:rPr lang="en-GB" sz="1100">
              <a:latin typeface="+mn-lt"/>
            </a:rPr>
            <a:t>if you want to reduce or increase the number of box plots</a:t>
          </a:r>
        </a:p>
        <a:p>
          <a:r>
            <a:rPr lang="en-GB" sz="1100">
              <a:latin typeface="+mn-lt"/>
            </a:rPr>
            <a:t>Enter</a:t>
          </a:r>
          <a:r>
            <a:rPr lang="en-GB" sz="1100" baseline="0">
              <a:latin typeface="+mn-lt"/>
            </a:rPr>
            <a:t> the chart title in the cell indicated.</a:t>
          </a:r>
        </a:p>
        <a:p>
          <a:r>
            <a:rPr lang="en-GB" sz="1100" baseline="0">
              <a:latin typeface="+mn-lt"/>
            </a:rPr>
            <a:t>If you need more levels, insert additional columns between [C] and [D], then insert the same number of columns between [L] and [M].  Copy and drag across the formula from [L] to copy into the added columns.  The graph should automatically update.</a:t>
          </a:r>
        </a:p>
        <a:p>
          <a:endParaRPr lang="en-GB" sz="1100" baseline="0">
            <a:latin typeface="+mn-lt"/>
          </a:endParaRPr>
        </a:p>
        <a:p>
          <a:r>
            <a:rPr lang="en-GB" sz="1100" b="1" baseline="0">
              <a:solidFill>
                <a:srgbClr val="FF0000"/>
              </a:solidFill>
              <a:latin typeface="+mn-lt"/>
            </a:rPr>
            <a:t>Do not edit red text or cells flagged as a calculated field</a:t>
          </a:r>
          <a:endParaRPr lang="en-GB" sz="1100" b="1">
            <a:solidFill>
              <a:srgbClr val="FF0000"/>
            </a:solidFill>
            <a:latin typeface="+mn-lt"/>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6</xdr:col>
      <xdr:colOff>447674</xdr:colOff>
      <xdr:row>0</xdr:row>
      <xdr:rowOff>160020</xdr:rowOff>
    </xdr:from>
    <xdr:to>
      <xdr:col>15</xdr:col>
      <xdr:colOff>22859</xdr:colOff>
      <xdr:row>18</xdr:row>
      <xdr:rowOff>133350</xdr:rowOff>
    </xdr:to>
    <xdr:graphicFrame macro="">
      <xdr:nvGraphicFramePr>
        <xdr:cNvPr id="2" name="Chart 1">
          <a:extLst>
            <a:ext uri="{FF2B5EF4-FFF2-40B4-BE49-F238E27FC236}">
              <a16:creationId xmlns:a16="http://schemas.microsoft.com/office/drawing/2014/main" id="{00000000-0008-0000-18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228600</xdr:colOff>
      <xdr:row>3</xdr:row>
      <xdr:rowOff>9525</xdr:rowOff>
    </xdr:from>
    <xdr:to>
      <xdr:col>3</xdr:col>
      <xdr:colOff>30480</xdr:colOff>
      <xdr:row>13</xdr:row>
      <xdr:rowOff>0</xdr:rowOff>
    </xdr:to>
    <xdr:sp macro="" textlink="">
      <xdr:nvSpPr>
        <xdr:cNvPr id="3" name="Rectangle 2">
          <a:extLst>
            <a:ext uri="{FF2B5EF4-FFF2-40B4-BE49-F238E27FC236}">
              <a16:creationId xmlns:a16="http://schemas.microsoft.com/office/drawing/2014/main" id="{00000000-0008-0000-1800-000003000000}"/>
            </a:ext>
          </a:extLst>
        </xdr:cNvPr>
        <xdr:cNvSpPr/>
      </xdr:nvSpPr>
      <xdr:spPr>
        <a:xfrm>
          <a:off x="228600" y="695325"/>
          <a:ext cx="1973580" cy="2276475"/>
        </a:xfrm>
        <a:prstGeom prst="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solidFill>
              <a:srgbClr val="7030A0"/>
            </a:solidFill>
          </a:endParaRPr>
        </a:p>
      </xdr:txBody>
    </xdr:sp>
    <xdr:clientData/>
  </xdr:twoCellAnchor>
  <xdr:twoCellAnchor>
    <xdr:from>
      <xdr:col>1</xdr:col>
      <xdr:colOff>1255395</xdr:colOff>
      <xdr:row>15</xdr:row>
      <xdr:rowOff>45720</xdr:rowOff>
    </xdr:from>
    <xdr:to>
      <xdr:col>5</xdr:col>
      <xdr:colOff>510540</xdr:colOff>
      <xdr:row>24</xdr:row>
      <xdr:rowOff>60960</xdr:rowOff>
    </xdr:to>
    <xdr:sp macro="" textlink="">
      <xdr:nvSpPr>
        <xdr:cNvPr id="4" name="Line Callout 1 (Accent Bar) 3">
          <a:extLst>
            <a:ext uri="{FF2B5EF4-FFF2-40B4-BE49-F238E27FC236}">
              <a16:creationId xmlns:a16="http://schemas.microsoft.com/office/drawing/2014/main" id="{00000000-0008-0000-1800-000004000000}"/>
            </a:ext>
          </a:extLst>
        </xdr:cNvPr>
        <xdr:cNvSpPr/>
      </xdr:nvSpPr>
      <xdr:spPr>
        <a:xfrm>
          <a:off x="1522095" y="3474720"/>
          <a:ext cx="2379345" cy="2072640"/>
        </a:xfrm>
        <a:prstGeom prst="accentCallout1">
          <a:avLst>
            <a:gd name="adj1" fmla="val 19412"/>
            <a:gd name="adj2" fmla="val -3607"/>
            <a:gd name="adj3" fmla="val -36711"/>
            <a:gd name="adj4" fmla="val -22881"/>
          </a:avLst>
        </a:prstGeom>
        <a:solidFill>
          <a:schemeClr val="bg1"/>
        </a:solid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000" b="1">
              <a:solidFill>
                <a:srgbClr val="7030A0"/>
              </a:solidFill>
              <a:latin typeface="+mn-lt"/>
            </a:rPr>
            <a:t>Step 1:</a:t>
          </a:r>
        </a:p>
        <a:p>
          <a:pPr algn="l"/>
          <a:r>
            <a:rPr lang="en-GB" sz="1000">
              <a:solidFill>
                <a:srgbClr val="7030A0"/>
              </a:solidFill>
              <a:latin typeface="+mn-lt"/>
            </a:rPr>
            <a:t>Enter the data  in</a:t>
          </a:r>
          <a:r>
            <a:rPr lang="en-GB" sz="1000" baseline="0">
              <a:solidFill>
                <a:srgbClr val="7030A0"/>
              </a:solidFill>
              <a:latin typeface="+mn-lt"/>
            </a:rPr>
            <a:t> order of volume starting at the largest and ending with the smallest. The chart will only make sense if ordered this way.</a:t>
          </a:r>
        </a:p>
        <a:p>
          <a:pPr algn="l"/>
          <a:r>
            <a:rPr lang="en-GB" sz="1000" baseline="0">
              <a:solidFill>
                <a:srgbClr val="7030A0"/>
              </a:solidFill>
              <a:latin typeface="+mn-lt"/>
            </a:rPr>
            <a:t>Type the chart's title in cell B2</a:t>
          </a:r>
        </a:p>
        <a:p>
          <a:pPr algn="l"/>
          <a:endParaRPr lang="en-GB" sz="1000" baseline="0">
            <a:solidFill>
              <a:srgbClr val="7030A0"/>
            </a:solidFill>
            <a:latin typeface="+mn-lt"/>
          </a:endParaRPr>
        </a:p>
        <a:p>
          <a:pPr algn="l"/>
          <a:r>
            <a:rPr lang="en-GB" sz="1000" b="1" baseline="0">
              <a:solidFill>
                <a:srgbClr val="7030A0"/>
              </a:solidFill>
              <a:latin typeface="+mn-lt"/>
            </a:rPr>
            <a:t>If you need more categories</a:t>
          </a:r>
          <a:r>
            <a:rPr lang="en-GB" sz="1000" baseline="0">
              <a:solidFill>
                <a:srgbClr val="7030A0"/>
              </a:solidFill>
              <a:latin typeface="+mn-lt"/>
            </a:rPr>
            <a:t>, insert rows between row 11 and row 12.  Then copy/paste down the formulae from columns D, E, and F.  Lastly insert your data in columns A &amp; B</a:t>
          </a:r>
        </a:p>
      </xdr:txBody>
    </xdr:sp>
    <xdr:clientData/>
  </xdr:twoCellAnchor>
  <xdr:twoCellAnchor>
    <xdr:from>
      <xdr:col>9</xdr:col>
      <xdr:colOff>0</xdr:colOff>
      <xdr:row>17</xdr:row>
      <xdr:rowOff>160020</xdr:rowOff>
    </xdr:from>
    <xdr:to>
      <xdr:col>15</xdr:col>
      <xdr:colOff>7620</xdr:colOff>
      <xdr:row>24</xdr:row>
      <xdr:rowOff>198120</xdr:rowOff>
    </xdr:to>
    <xdr:sp macro="" textlink="">
      <xdr:nvSpPr>
        <xdr:cNvPr id="6" name="Line Callout 1 (Accent Bar) 7">
          <a:extLst>
            <a:ext uri="{FF2B5EF4-FFF2-40B4-BE49-F238E27FC236}">
              <a16:creationId xmlns:a16="http://schemas.microsoft.com/office/drawing/2014/main" id="{00000000-0008-0000-1800-000006000000}"/>
            </a:ext>
          </a:extLst>
        </xdr:cNvPr>
        <xdr:cNvSpPr/>
      </xdr:nvSpPr>
      <xdr:spPr>
        <a:xfrm>
          <a:off x="5829300" y="4046220"/>
          <a:ext cx="3665220" cy="1638300"/>
        </a:xfrm>
        <a:prstGeom prst="accentCallout1">
          <a:avLst>
            <a:gd name="adj1" fmla="val 3386"/>
            <a:gd name="adj2" fmla="val -660"/>
            <a:gd name="adj3" fmla="val -9785"/>
            <a:gd name="adj4" fmla="val -10778"/>
          </a:avLst>
        </a:prstGeom>
        <a:solidFill>
          <a:schemeClr val="bg1"/>
        </a:solid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b="1">
              <a:solidFill>
                <a:srgbClr val="7030A0"/>
              </a:solidFill>
              <a:latin typeface="+mn-lt"/>
            </a:rPr>
            <a:t>Step 2</a:t>
          </a:r>
        </a:p>
        <a:p>
          <a:pPr algn="l"/>
          <a:r>
            <a:rPr lang="en-GB" sz="1000" b="0">
              <a:solidFill>
                <a:srgbClr val="7030A0"/>
              </a:solidFill>
              <a:latin typeface="+mn-lt"/>
            </a:rPr>
            <a:t>Edit the area for the data taken into account by</a:t>
          </a:r>
          <a:r>
            <a:rPr lang="en-GB" sz="1000" b="0" baseline="0">
              <a:solidFill>
                <a:srgbClr val="7030A0"/>
              </a:solidFill>
              <a:latin typeface="+mn-lt"/>
            </a:rPr>
            <a:t> the graphs as needed.</a:t>
          </a:r>
        </a:p>
        <a:p>
          <a:pPr algn="l"/>
          <a:r>
            <a:rPr lang="en-GB" sz="1000" b="0" baseline="0">
              <a:solidFill>
                <a:srgbClr val="7030A0"/>
              </a:solidFill>
              <a:latin typeface="+mn-lt"/>
            </a:rPr>
            <a:t>- Note the last row with data (e.g., row 11)</a:t>
          </a:r>
        </a:p>
        <a:p>
          <a:pPr algn="l"/>
          <a:r>
            <a:rPr lang="en-GB" sz="1000" b="0" baseline="0">
              <a:solidFill>
                <a:srgbClr val="7030A0"/>
              </a:solidFill>
              <a:latin typeface="+mn-lt"/>
            </a:rPr>
            <a:t>- Right-click in the chart area</a:t>
          </a:r>
        </a:p>
        <a:p>
          <a:pPr algn="l"/>
          <a:r>
            <a:rPr lang="en-GB" sz="1000" b="0" baseline="0">
              <a:solidFill>
                <a:srgbClr val="7030A0"/>
              </a:solidFill>
              <a:latin typeface="+mn-lt"/>
            </a:rPr>
            <a:t>- Pick 'Select data'</a:t>
          </a:r>
        </a:p>
        <a:p>
          <a:pPr algn="l"/>
          <a:r>
            <a:rPr lang="en-GB" sz="1000" b="0" baseline="0">
              <a:solidFill>
                <a:srgbClr val="7030A0"/>
              </a:solidFill>
              <a:latin typeface="+mn-lt"/>
            </a:rPr>
            <a:t>- In the "chart data range" field, change the row number to correspond to your last row with data. </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6</xdr:col>
      <xdr:colOff>350807</xdr:colOff>
      <xdr:row>3</xdr:row>
      <xdr:rowOff>0</xdr:rowOff>
    </xdr:from>
    <xdr:to>
      <xdr:col>9</xdr:col>
      <xdr:colOff>218154</xdr:colOff>
      <xdr:row>8</xdr:row>
      <xdr:rowOff>166901</xdr:rowOff>
    </xdr:to>
    <xdr:sp macro="" textlink="">
      <xdr:nvSpPr>
        <xdr:cNvPr id="2" name="Diamond 1">
          <a:extLst>
            <a:ext uri="{FF2B5EF4-FFF2-40B4-BE49-F238E27FC236}">
              <a16:creationId xmlns:a16="http://schemas.microsoft.com/office/drawing/2014/main" id="{00000000-0008-0000-1900-000002000000}"/>
            </a:ext>
          </a:extLst>
        </xdr:cNvPr>
        <xdr:cNvSpPr/>
      </xdr:nvSpPr>
      <xdr:spPr>
        <a:xfrm>
          <a:off x="4008407" y="571500"/>
          <a:ext cx="1696147" cy="1119401"/>
        </a:xfrm>
        <a:prstGeom prst="diamond">
          <a:avLst/>
        </a:prstGeom>
        <a:ln>
          <a:solidFill>
            <a:srgbClr val="00528E"/>
          </a:solidFill>
        </a:ln>
      </xdr:spPr>
      <xdr:style>
        <a:lnRef idx="2">
          <a:schemeClr val="accent4"/>
        </a:lnRef>
        <a:fillRef idx="1">
          <a:schemeClr val="lt1"/>
        </a:fillRef>
        <a:effectRef idx="0">
          <a:schemeClr val="accent4"/>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a:endParaRPr lang="en-GB" sz="2800"/>
        </a:p>
      </xdr:txBody>
    </xdr:sp>
    <xdr:clientData/>
  </xdr:twoCellAnchor>
  <xdr:twoCellAnchor>
    <xdr:from>
      <xdr:col>4</xdr:col>
      <xdr:colOff>446018</xdr:colOff>
      <xdr:row>4</xdr:row>
      <xdr:rowOff>139983</xdr:rowOff>
    </xdr:from>
    <xdr:to>
      <xdr:col>5</xdr:col>
      <xdr:colOff>21149</xdr:colOff>
      <xdr:row>6</xdr:row>
      <xdr:rowOff>12899</xdr:rowOff>
    </xdr:to>
    <xdr:sp macro="" textlink="">
      <xdr:nvSpPr>
        <xdr:cNvPr id="3" name="Text Box 2">
          <a:extLst>
            <a:ext uri="{FF2B5EF4-FFF2-40B4-BE49-F238E27FC236}">
              <a16:creationId xmlns:a16="http://schemas.microsoft.com/office/drawing/2014/main" id="{00000000-0008-0000-1900-000003000000}"/>
            </a:ext>
          </a:extLst>
        </xdr:cNvPr>
        <xdr:cNvSpPr txBox="1">
          <a:spLocks noChangeArrowheads="1"/>
        </xdr:cNvSpPr>
      </xdr:nvSpPr>
      <xdr:spPr bwMode="auto">
        <a:xfrm>
          <a:off x="2884418" y="901983"/>
          <a:ext cx="184731" cy="253916"/>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ClrTx/>
            <a:buSzTx/>
            <a:buFontTx/>
            <a:buNone/>
          </a:pPr>
          <a:endParaRPr lang="pt-BR" sz="1050"/>
        </a:p>
      </xdr:txBody>
    </xdr:sp>
    <xdr:clientData/>
  </xdr:twoCellAnchor>
  <xdr:twoCellAnchor>
    <xdr:from>
      <xdr:col>9</xdr:col>
      <xdr:colOff>436708</xdr:colOff>
      <xdr:row>3</xdr:row>
      <xdr:rowOff>44902</xdr:rowOff>
    </xdr:from>
    <xdr:to>
      <xdr:col>11</xdr:col>
      <xdr:colOff>147571</xdr:colOff>
      <xdr:row>5</xdr:row>
      <xdr:rowOff>125567</xdr:rowOff>
    </xdr:to>
    <xdr:sp macro="" textlink="">
      <xdr:nvSpPr>
        <xdr:cNvPr id="4" name="Text Box 3">
          <a:extLst>
            <a:ext uri="{FF2B5EF4-FFF2-40B4-BE49-F238E27FC236}">
              <a16:creationId xmlns:a16="http://schemas.microsoft.com/office/drawing/2014/main" id="{00000000-0008-0000-1900-000004000000}"/>
            </a:ext>
          </a:extLst>
        </xdr:cNvPr>
        <xdr:cNvSpPr txBox="1">
          <a:spLocks noChangeArrowheads="1"/>
        </xdr:cNvSpPr>
      </xdr:nvSpPr>
      <xdr:spPr bwMode="auto">
        <a:xfrm>
          <a:off x="5923108" y="616402"/>
          <a:ext cx="930063" cy="461665"/>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ClrTx/>
            <a:buSzTx/>
            <a:buFontTx/>
            <a:buNone/>
          </a:pPr>
          <a:r>
            <a:rPr lang="en-US" sz="1200">
              <a:solidFill>
                <a:srgbClr val="0000FF"/>
              </a:solidFill>
            </a:rPr>
            <a:t>Discrete / </a:t>
          </a:r>
        </a:p>
        <a:p>
          <a:pPr>
            <a:spcBef>
              <a:spcPct val="0"/>
            </a:spcBef>
            <a:buClrTx/>
            <a:buSzTx/>
            <a:buFontTx/>
            <a:buNone/>
          </a:pPr>
          <a:r>
            <a:rPr lang="en-US" sz="1200">
              <a:solidFill>
                <a:srgbClr val="0000FF"/>
              </a:solidFill>
            </a:rPr>
            <a:t>Attribute</a:t>
          </a:r>
          <a:endParaRPr lang="en-US" sz="1050">
            <a:solidFill>
              <a:srgbClr val="0000FF"/>
            </a:solidFill>
          </a:endParaRPr>
        </a:p>
      </xdr:txBody>
    </xdr:sp>
    <xdr:clientData/>
  </xdr:twoCellAnchor>
  <xdr:twoCellAnchor>
    <xdr:from>
      <xdr:col>4</xdr:col>
      <xdr:colOff>598198</xdr:colOff>
      <xdr:row>3</xdr:row>
      <xdr:rowOff>35330</xdr:rowOff>
    </xdr:from>
    <xdr:to>
      <xdr:col>6</xdr:col>
      <xdr:colOff>525466</xdr:colOff>
      <xdr:row>5</xdr:row>
      <xdr:rowOff>115995</xdr:rowOff>
    </xdr:to>
    <xdr:sp macro="" textlink="">
      <xdr:nvSpPr>
        <xdr:cNvPr id="5" name="Text Box 4">
          <a:extLst>
            <a:ext uri="{FF2B5EF4-FFF2-40B4-BE49-F238E27FC236}">
              <a16:creationId xmlns:a16="http://schemas.microsoft.com/office/drawing/2014/main" id="{00000000-0008-0000-1900-000005000000}"/>
            </a:ext>
          </a:extLst>
        </xdr:cNvPr>
        <xdr:cNvSpPr txBox="1">
          <a:spLocks noChangeArrowheads="1"/>
        </xdr:cNvSpPr>
      </xdr:nvSpPr>
      <xdr:spPr bwMode="auto">
        <a:xfrm>
          <a:off x="3036598" y="606830"/>
          <a:ext cx="1146468" cy="461665"/>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ClrTx/>
            <a:buSzTx/>
            <a:buFontTx/>
            <a:buNone/>
          </a:pPr>
          <a:r>
            <a:rPr lang="en-US" sz="1200">
              <a:solidFill>
                <a:srgbClr val="0000FF"/>
              </a:solidFill>
            </a:rPr>
            <a:t>Continuous / </a:t>
          </a:r>
        </a:p>
        <a:p>
          <a:pPr>
            <a:spcBef>
              <a:spcPct val="0"/>
            </a:spcBef>
            <a:buClrTx/>
            <a:buSzTx/>
            <a:buFontTx/>
            <a:buNone/>
          </a:pPr>
          <a:r>
            <a:rPr lang="en-US" sz="1200">
              <a:solidFill>
                <a:srgbClr val="0000FF"/>
              </a:solidFill>
            </a:rPr>
            <a:t>Variable</a:t>
          </a:r>
          <a:endParaRPr lang="en-US" sz="1200"/>
        </a:p>
      </xdr:txBody>
    </xdr:sp>
    <xdr:clientData/>
  </xdr:twoCellAnchor>
  <xdr:twoCellAnchor>
    <xdr:from>
      <xdr:col>3</xdr:col>
      <xdr:colOff>144861</xdr:colOff>
      <xdr:row>8</xdr:row>
      <xdr:rowOff>54342</xdr:rowOff>
    </xdr:from>
    <xdr:to>
      <xdr:col>3</xdr:col>
      <xdr:colOff>144861</xdr:colOff>
      <xdr:row>12</xdr:row>
      <xdr:rowOff>60997</xdr:rowOff>
    </xdr:to>
    <xdr:sp macro="" textlink="">
      <xdr:nvSpPr>
        <xdr:cNvPr id="6" name="Line 8">
          <a:extLst>
            <a:ext uri="{FF2B5EF4-FFF2-40B4-BE49-F238E27FC236}">
              <a16:creationId xmlns:a16="http://schemas.microsoft.com/office/drawing/2014/main" id="{00000000-0008-0000-1900-000006000000}"/>
            </a:ext>
          </a:extLst>
        </xdr:cNvPr>
        <xdr:cNvSpPr>
          <a:spLocks noChangeShapeType="1"/>
        </xdr:cNvSpPr>
      </xdr:nvSpPr>
      <xdr:spPr bwMode="auto">
        <a:xfrm>
          <a:off x="1973661" y="1578342"/>
          <a:ext cx="0" cy="768655"/>
        </a:xfrm>
        <a:prstGeom prst="line">
          <a:avLst/>
        </a:prstGeom>
        <a:noFill/>
        <a:ln w="12700">
          <a:solidFill>
            <a:schemeClr val="tx1"/>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sz="2800"/>
        </a:p>
      </xdr:txBody>
    </xdr:sp>
    <xdr:clientData/>
  </xdr:twoCellAnchor>
  <xdr:twoCellAnchor>
    <xdr:from>
      <xdr:col>5</xdr:col>
      <xdr:colOff>508264</xdr:colOff>
      <xdr:row>8</xdr:row>
      <xdr:rowOff>55326</xdr:rowOff>
    </xdr:from>
    <xdr:to>
      <xdr:col>5</xdr:col>
      <xdr:colOff>508264</xdr:colOff>
      <xdr:row>12</xdr:row>
      <xdr:rowOff>61981</xdr:rowOff>
    </xdr:to>
    <xdr:sp macro="" textlink="">
      <xdr:nvSpPr>
        <xdr:cNvPr id="7" name="Line 9">
          <a:extLst>
            <a:ext uri="{FF2B5EF4-FFF2-40B4-BE49-F238E27FC236}">
              <a16:creationId xmlns:a16="http://schemas.microsoft.com/office/drawing/2014/main" id="{00000000-0008-0000-1900-000007000000}"/>
            </a:ext>
          </a:extLst>
        </xdr:cNvPr>
        <xdr:cNvSpPr>
          <a:spLocks noChangeShapeType="1"/>
        </xdr:cNvSpPr>
      </xdr:nvSpPr>
      <xdr:spPr bwMode="auto">
        <a:xfrm>
          <a:off x="3556264" y="1579326"/>
          <a:ext cx="0" cy="768655"/>
        </a:xfrm>
        <a:prstGeom prst="line">
          <a:avLst/>
        </a:prstGeom>
        <a:noFill/>
        <a:ln w="12700">
          <a:solidFill>
            <a:schemeClr val="tx1"/>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sz="2800"/>
        </a:p>
      </xdr:txBody>
    </xdr:sp>
    <xdr:clientData/>
  </xdr:twoCellAnchor>
  <xdr:twoCellAnchor>
    <xdr:from>
      <xdr:col>1</xdr:col>
      <xdr:colOff>462045</xdr:colOff>
      <xdr:row>8</xdr:row>
      <xdr:rowOff>139416</xdr:rowOff>
    </xdr:from>
    <xdr:to>
      <xdr:col>3</xdr:col>
      <xdr:colOff>217792</xdr:colOff>
      <xdr:row>12</xdr:row>
      <xdr:rowOff>23747</xdr:rowOff>
    </xdr:to>
    <xdr:sp macro="" textlink="">
      <xdr:nvSpPr>
        <xdr:cNvPr id="8" name="Text Box 10">
          <a:extLst>
            <a:ext uri="{FF2B5EF4-FFF2-40B4-BE49-F238E27FC236}">
              <a16:creationId xmlns:a16="http://schemas.microsoft.com/office/drawing/2014/main" id="{00000000-0008-0000-1900-000008000000}"/>
            </a:ext>
          </a:extLst>
        </xdr:cNvPr>
        <xdr:cNvSpPr txBox="1">
          <a:spLocks noChangeArrowheads="1"/>
        </xdr:cNvSpPr>
      </xdr:nvSpPr>
      <xdr:spPr bwMode="auto">
        <a:xfrm>
          <a:off x="1071645" y="1663416"/>
          <a:ext cx="974947" cy="646331"/>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r">
            <a:spcBef>
              <a:spcPct val="0"/>
            </a:spcBef>
            <a:buClrTx/>
            <a:buSzTx/>
            <a:buFontTx/>
            <a:buNone/>
          </a:pPr>
          <a:r>
            <a:rPr lang="en-US" sz="1200"/>
            <a:t>Groups</a:t>
          </a:r>
        </a:p>
        <a:p>
          <a:pPr algn="r">
            <a:spcBef>
              <a:spcPct val="0"/>
            </a:spcBef>
            <a:buClrTx/>
            <a:buSzTx/>
            <a:buFontTx/>
            <a:buNone/>
          </a:pPr>
          <a:r>
            <a:rPr lang="en-US" sz="1200"/>
            <a:t>(Averages)</a:t>
          </a:r>
        </a:p>
        <a:p>
          <a:pPr algn="r">
            <a:spcBef>
              <a:spcPct val="0"/>
            </a:spcBef>
            <a:buClrTx/>
            <a:buSzTx/>
            <a:buFontTx/>
            <a:buNone/>
          </a:pPr>
          <a:r>
            <a:rPr lang="en-US" sz="1200"/>
            <a:t>(n&gt;1)</a:t>
          </a:r>
        </a:p>
      </xdr:txBody>
    </xdr:sp>
    <xdr:clientData/>
  </xdr:twoCellAnchor>
  <xdr:twoCellAnchor>
    <xdr:from>
      <xdr:col>5</xdr:col>
      <xdr:colOff>468068</xdr:colOff>
      <xdr:row>8</xdr:row>
      <xdr:rowOff>149355</xdr:rowOff>
    </xdr:from>
    <xdr:to>
      <xdr:col>8</xdr:col>
      <xdr:colOff>538</xdr:colOff>
      <xdr:row>11</xdr:row>
      <xdr:rowOff>39520</xdr:rowOff>
    </xdr:to>
    <xdr:sp macro="" textlink="">
      <xdr:nvSpPr>
        <xdr:cNvPr id="9" name="Text Box 11">
          <a:extLst>
            <a:ext uri="{FF2B5EF4-FFF2-40B4-BE49-F238E27FC236}">
              <a16:creationId xmlns:a16="http://schemas.microsoft.com/office/drawing/2014/main" id="{00000000-0008-0000-1900-000009000000}"/>
            </a:ext>
          </a:extLst>
        </xdr:cNvPr>
        <xdr:cNvSpPr txBox="1">
          <a:spLocks noChangeArrowheads="1"/>
        </xdr:cNvSpPr>
      </xdr:nvSpPr>
      <xdr:spPr bwMode="auto">
        <a:xfrm>
          <a:off x="3516068" y="1673355"/>
          <a:ext cx="1361270" cy="461665"/>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ClrTx/>
            <a:buSzTx/>
            <a:buFontTx/>
            <a:buNone/>
          </a:pPr>
          <a:r>
            <a:rPr lang="en-US" sz="1200"/>
            <a:t>Individual values</a:t>
          </a:r>
        </a:p>
        <a:p>
          <a:pPr>
            <a:spcBef>
              <a:spcPct val="0"/>
            </a:spcBef>
            <a:buClrTx/>
            <a:buSzTx/>
            <a:buFontTx/>
            <a:buNone/>
          </a:pPr>
          <a:r>
            <a:rPr lang="en-US" sz="1200"/>
            <a:t>(n=1)</a:t>
          </a:r>
        </a:p>
      </xdr:txBody>
    </xdr:sp>
    <xdr:clientData/>
  </xdr:twoCellAnchor>
  <xdr:twoCellAnchor>
    <xdr:from>
      <xdr:col>1</xdr:col>
      <xdr:colOff>443094</xdr:colOff>
      <xdr:row>12</xdr:row>
      <xdr:rowOff>67441</xdr:rowOff>
    </xdr:from>
    <xdr:to>
      <xdr:col>3</xdr:col>
      <xdr:colOff>286865</xdr:colOff>
      <xdr:row>15</xdr:row>
      <xdr:rowOff>42209</xdr:rowOff>
    </xdr:to>
    <xdr:sp macro="" textlink="">
      <xdr:nvSpPr>
        <xdr:cNvPr id="10" name="Rectangle 9">
          <a:hlinkClick xmlns:r="http://schemas.openxmlformats.org/officeDocument/2006/relationships" r:id="rId1"/>
          <a:extLst>
            <a:ext uri="{FF2B5EF4-FFF2-40B4-BE49-F238E27FC236}">
              <a16:creationId xmlns:a16="http://schemas.microsoft.com/office/drawing/2014/main" id="{00000000-0008-0000-1900-00000A000000}"/>
            </a:ext>
          </a:extLst>
        </xdr:cNvPr>
        <xdr:cNvSpPr>
          <a:spLocks noChangeArrowheads="1"/>
        </xdr:cNvSpPr>
      </xdr:nvSpPr>
      <xdr:spPr bwMode="auto">
        <a:xfrm>
          <a:off x="1052694" y="2353441"/>
          <a:ext cx="1062971" cy="546268"/>
        </a:xfrm>
        <a:prstGeom prst="rect">
          <a:avLst/>
        </a:prstGeom>
        <a:solidFill>
          <a:srgbClr val="8EB4E3"/>
        </a:solidFill>
        <a:ln>
          <a:headEnd/>
          <a:tailEnd/>
        </a:ln>
      </xdr:spPr>
      <xdr:style>
        <a:lnRef idx="3">
          <a:schemeClr val="lt1"/>
        </a:lnRef>
        <a:fillRef idx="1">
          <a:schemeClr val="accent3"/>
        </a:fillRef>
        <a:effectRef idx="1">
          <a:schemeClr val="accent3"/>
        </a:effectRef>
        <a:fontRef idx="minor">
          <a:schemeClr val="lt1"/>
        </a:fontRef>
      </xdr:style>
      <xdr:txBody>
        <a:bodyPr wrap="square"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spcBef>
              <a:spcPct val="0"/>
            </a:spcBef>
            <a:buClrTx/>
            <a:buSzTx/>
            <a:buFontTx/>
            <a:buNone/>
          </a:pPr>
          <a:r>
            <a:rPr lang="en-US" sz="1600">
              <a:solidFill>
                <a:schemeClr val="tx2"/>
              </a:solidFill>
            </a:rPr>
            <a:t>X-Bar &amp; R</a:t>
          </a:r>
        </a:p>
        <a:p>
          <a:pPr algn="ctr">
            <a:spcBef>
              <a:spcPct val="0"/>
            </a:spcBef>
            <a:buClrTx/>
            <a:buSzTx/>
            <a:buFontTx/>
            <a:buNone/>
          </a:pPr>
          <a:r>
            <a:rPr lang="en-US" sz="1600">
              <a:solidFill>
                <a:schemeClr val="tx2"/>
              </a:solidFill>
            </a:rPr>
            <a:t>X-Bar &amp; S</a:t>
          </a:r>
        </a:p>
      </xdr:txBody>
    </xdr:sp>
    <xdr:clientData/>
  </xdr:twoCellAnchor>
  <xdr:twoCellAnchor>
    <xdr:from>
      <xdr:col>5</xdr:col>
      <xdr:colOff>238320</xdr:colOff>
      <xdr:row>12</xdr:row>
      <xdr:rowOff>48804</xdr:rowOff>
    </xdr:from>
    <xdr:to>
      <xdr:col>7</xdr:col>
      <xdr:colOff>343103</xdr:colOff>
      <xdr:row>16</xdr:row>
      <xdr:rowOff>133349</xdr:rowOff>
    </xdr:to>
    <xdr:sp macro="" textlink="">
      <xdr:nvSpPr>
        <xdr:cNvPr id="11" name="Rectangle 10">
          <a:hlinkClick xmlns:r="http://schemas.openxmlformats.org/officeDocument/2006/relationships" r:id="rId2"/>
          <a:extLst>
            <a:ext uri="{FF2B5EF4-FFF2-40B4-BE49-F238E27FC236}">
              <a16:creationId xmlns:a16="http://schemas.microsoft.com/office/drawing/2014/main" id="{00000000-0008-0000-1900-00000B000000}"/>
            </a:ext>
          </a:extLst>
        </xdr:cNvPr>
        <xdr:cNvSpPr>
          <a:spLocks noChangeArrowheads="1"/>
        </xdr:cNvSpPr>
      </xdr:nvSpPr>
      <xdr:spPr bwMode="auto">
        <a:xfrm>
          <a:off x="3286320" y="2344329"/>
          <a:ext cx="1323983" cy="846545"/>
        </a:xfrm>
        <a:prstGeom prst="rect">
          <a:avLst/>
        </a:prstGeom>
        <a:solidFill>
          <a:srgbClr val="8EB4E3"/>
        </a:solidFill>
        <a:ln>
          <a:headEnd/>
          <a:tailEnd/>
        </a:ln>
      </xdr:spPr>
      <xdr:style>
        <a:lnRef idx="3">
          <a:schemeClr val="lt1"/>
        </a:lnRef>
        <a:fillRef idx="1">
          <a:schemeClr val="accent3"/>
        </a:fillRef>
        <a:effectRef idx="1">
          <a:schemeClr val="accent3"/>
        </a:effectRef>
        <a:fontRef idx="minor">
          <a:schemeClr val="lt1"/>
        </a:fontRef>
      </xdr:style>
      <xdr:txBody>
        <a:bodyPr wrap="square"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spcBef>
              <a:spcPct val="0"/>
            </a:spcBef>
            <a:buClrTx/>
            <a:buSzTx/>
            <a:buFontTx/>
            <a:buNone/>
          </a:pPr>
          <a:r>
            <a:rPr lang="en-US" sz="1600">
              <a:solidFill>
                <a:schemeClr val="tx2"/>
              </a:solidFill>
            </a:rPr>
            <a:t>Individuals &amp;</a:t>
          </a:r>
        </a:p>
        <a:p>
          <a:pPr algn="ctr">
            <a:spcBef>
              <a:spcPct val="0"/>
            </a:spcBef>
            <a:buClrTx/>
            <a:buSzTx/>
            <a:buFontTx/>
            <a:buNone/>
          </a:pPr>
          <a:r>
            <a:rPr lang="en-US" sz="1600">
              <a:solidFill>
                <a:schemeClr val="tx2"/>
              </a:solidFill>
            </a:rPr>
            <a:t>Moving Range</a:t>
          </a:r>
        </a:p>
      </xdr:txBody>
    </xdr:sp>
    <xdr:clientData/>
  </xdr:twoCellAnchor>
  <xdr:twoCellAnchor>
    <xdr:from>
      <xdr:col>8</xdr:col>
      <xdr:colOff>554876</xdr:colOff>
      <xdr:row>9</xdr:row>
      <xdr:rowOff>69571</xdr:rowOff>
    </xdr:from>
    <xdr:to>
      <xdr:col>10</xdr:col>
      <xdr:colOff>258197</xdr:colOff>
      <xdr:row>12</xdr:row>
      <xdr:rowOff>144402</xdr:rowOff>
    </xdr:to>
    <xdr:sp macro="" textlink="">
      <xdr:nvSpPr>
        <xdr:cNvPr id="12" name="Text Box 14">
          <a:extLst>
            <a:ext uri="{FF2B5EF4-FFF2-40B4-BE49-F238E27FC236}">
              <a16:creationId xmlns:a16="http://schemas.microsoft.com/office/drawing/2014/main" id="{00000000-0008-0000-1900-00000C000000}"/>
            </a:ext>
          </a:extLst>
        </xdr:cNvPr>
        <xdr:cNvSpPr txBox="1">
          <a:spLocks noChangeArrowheads="1"/>
        </xdr:cNvSpPr>
      </xdr:nvSpPr>
      <xdr:spPr bwMode="auto">
        <a:xfrm>
          <a:off x="5431676" y="1784071"/>
          <a:ext cx="922521" cy="646331"/>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r">
            <a:spcBef>
              <a:spcPct val="0"/>
            </a:spcBef>
            <a:buClrTx/>
            <a:buSzTx/>
            <a:buFontTx/>
            <a:buNone/>
          </a:pPr>
          <a:r>
            <a:rPr lang="en-US" sz="1200"/>
            <a:t>Specific types of defects</a:t>
          </a:r>
        </a:p>
      </xdr:txBody>
    </xdr:sp>
    <xdr:clientData/>
  </xdr:twoCellAnchor>
  <xdr:twoCellAnchor>
    <xdr:from>
      <xdr:col>13</xdr:col>
      <xdr:colOff>23513</xdr:colOff>
      <xdr:row>9</xdr:row>
      <xdr:rowOff>69571</xdr:rowOff>
    </xdr:from>
    <xdr:to>
      <xdr:col>14</xdr:col>
      <xdr:colOff>273444</xdr:colOff>
      <xdr:row>11</xdr:row>
      <xdr:rowOff>150236</xdr:rowOff>
    </xdr:to>
    <xdr:sp macro="" textlink="">
      <xdr:nvSpPr>
        <xdr:cNvPr id="13" name="Text Box 15">
          <a:extLst>
            <a:ext uri="{FF2B5EF4-FFF2-40B4-BE49-F238E27FC236}">
              <a16:creationId xmlns:a16="http://schemas.microsoft.com/office/drawing/2014/main" id="{00000000-0008-0000-1900-00000D000000}"/>
            </a:ext>
          </a:extLst>
        </xdr:cNvPr>
        <xdr:cNvSpPr txBox="1">
          <a:spLocks noChangeArrowheads="1"/>
        </xdr:cNvSpPr>
      </xdr:nvSpPr>
      <xdr:spPr bwMode="auto">
        <a:xfrm>
          <a:off x="7948313" y="1784071"/>
          <a:ext cx="859531" cy="461665"/>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ClrTx/>
            <a:buSzTx/>
            <a:buFontTx/>
            <a:buNone/>
          </a:pPr>
          <a:r>
            <a:rPr lang="en-US" sz="1200"/>
            <a:t>Defective</a:t>
          </a:r>
        </a:p>
        <a:p>
          <a:pPr>
            <a:spcBef>
              <a:spcPct val="0"/>
            </a:spcBef>
            <a:buClrTx/>
            <a:buSzTx/>
            <a:buFontTx/>
            <a:buNone/>
          </a:pPr>
          <a:r>
            <a:rPr lang="en-US" sz="1200"/>
            <a:t>items</a:t>
          </a:r>
        </a:p>
      </xdr:txBody>
    </xdr:sp>
    <xdr:clientData/>
  </xdr:twoCellAnchor>
  <xdr:twoCellAnchor>
    <xdr:from>
      <xdr:col>10</xdr:col>
      <xdr:colOff>507325</xdr:colOff>
      <xdr:row>17</xdr:row>
      <xdr:rowOff>99300</xdr:rowOff>
    </xdr:from>
    <xdr:to>
      <xdr:col>12</xdr:col>
      <xdr:colOff>485083</xdr:colOff>
      <xdr:row>21</xdr:row>
      <xdr:rowOff>19050</xdr:rowOff>
    </xdr:to>
    <xdr:sp macro="" textlink="">
      <xdr:nvSpPr>
        <xdr:cNvPr id="14" name="Rectangle 13">
          <a:hlinkClick xmlns:r="http://schemas.openxmlformats.org/officeDocument/2006/relationships" r:id="rId2"/>
          <a:extLst>
            <a:ext uri="{FF2B5EF4-FFF2-40B4-BE49-F238E27FC236}">
              <a16:creationId xmlns:a16="http://schemas.microsoft.com/office/drawing/2014/main" id="{00000000-0008-0000-1900-00000E000000}"/>
            </a:ext>
          </a:extLst>
        </xdr:cNvPr>
        <xdr:cNvSpPr>
          <a:spLocks noChangeArrowheads="1"/>
        </xdr:cNvSpPr>
      </xdr:nvSpPr>
      <xdr:spPr bwMode="auto">
        <a:xfrm>
          <a:off x="6603325" y="3347325"/>
          <a:ext cx="1196958" cy="681750"/>
        </a:xfrm>
        <a:prstGeom prst="rect">
          <a:avLst/>
        </a:prstGeom>
        <a:solidFill>
          <a:srgbClr val="8EB4E3"/>
        </a:solidFill>
        <a:ln>
          <a:headEnd/>
          <a:tailEnd/>
        </a:ln>
      </xdr:spPr>
      <xdr:style>
        <a:lnRef idx="3">
          <a:schemeClr val="lt1"/>
        </a:lnRef>
        <a:fillRef idx="1">
          <a:schemeClr val="accent3"/>
        </a:fillRef>
        <a:effectRef idx="1">
          <a:schemeClr val="accent3"/>
        </a:effectRef>
        <a:fontRef idx="minor">
          <a:schemeClr val="lt1"/>
        </a:fontRef>
      </xdr:style>
      <xdr:txBody>
        <a:bodyPr wrap="square"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spcBef>
              <a:spcPct val="0"/>
            </a:spcBef>
          </a:pPr>
          <a:r>
            <a:rPr lang="en-US" sz="1400">
              <a:solidFill>
                <a:schemeClr val="tx2"/>
              </a:solidFill>
            </a:rPr>
            <a:t>Individuals</a:t>
          </a:r>
        </a:p>
        <a:p>
          <a:pPr algn="ctr">
            <a:spcBef>
              <a:spcPct val="0"/>
            </a:spcBef>
          </a:pPr>
          <a:r>
            <a:rPr lang="en-US" sz="1400">
              <a:solidFill>
                <a:schemeClr val="tx2"/>
              </a:solidFill>
            </a:rPr>
            <a:t>Moving Range</a:t>
          </a:r>
        </a:p>
      </xdr:txBody>
    </xdr:sp>
    <xdr:clientData/>
  </xdr:twoCellAnchor>
  <xdr:twoCellAnchor>
    <xdr:from>
      <xdr:col>11</xdr:col>
      <xdr:colOff>258004</xdr:colOff>
      <xdr:row>14</xdr:row>
      <xdr:rowOff>108114</xdr:rowOff>
    </xdr:from>
    <xdr:to>
      <xdr:col>12</xdr:col>
      <xdr:colOff>63902</xdr:colOff>
      <xdr:row>16</xdr:row>
      <xdr:rowOff>4113</xdr:rowOff>
    </xdr:to>
    <xdr:sp macro="" textlink="">
      <xdr:nvSpPr>
        <xdr:cNvPr id="15" name="Text Box 21">
          <a:extLst>
            <a:ext uri="{FF2B5EF4-FFF2-40B4-BE49-F238E27FC236}">
              <a16:creationId xmlns:a16="http://schemas.microsoft.com/office/drawing/2014/main" id="{00000000-0008-0000-1900-00000F000000}"/>
            </a:ext>
          </a:extLst>
        </xdr:cNvPr>
        <xdr:cNvSpPr txBox="1">
          <a:spLocks noChangeArrowheads="1"/>
        </xdr:cNvSpPr>
      </xdr:nvSpPr>
      <xdr:spPr bwMode="auto">
        <a:xfrm>
          <a:off x="6963604" y="2775114"/>
          <a:ext cx="415498" cy="276999"/>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ClrTx/>
            <a:buSzTx/>
            <a:buFontTx/>
            <a:buNone/>
          </a:pPr>
          <a:r>
            <a:rPr lang="en-US" sz="1200"/>
            <a:t>NO</a:t>
          </a:r>
        </a:p>
      </xdr:txBody>
    </xdr:sp>
    <xdr:clientData/>
  </xdr:twoCellAnchor>
  <xdr:twoCellAnchor>
    <xdr:from>
      <xdr:col>8</xdr:col>
      <xdr:colOff>531056</xdr:colOff>
      <xdr:row>16</xdr:row>
      <xdr:rowOff>188308</xdr:rowOff>
    </xdr:from>
    <xdr:to>
      <xdr:col>9</xdr:col>
      <xdr:colOff>367412</xdr:colOff>
      <xdr:row>18</xdr:row>
      <xdr:rowOff>84307</xdr:rowOff>
    </xdr:to>
    <xdr:sp macro="" textlink="">
      <xdr:nvSpPr>
        <xdr:cNvPr id="16" name="Text Box 22">
          <a:extLst>
            <a:ext uri="{FF2B5EF4-FFF2-40B4-BE49-F238E27FC236}">
              <a16:creationId xmlns:a16="http://schemas.microsoft.com/office/drawing/2014/main" id="{00000000-0008-0000-1900-000010000000}"/>
            </a:ext>
          </a:extLst>
        </xdr:cNvPr>
        <xdr:cNvSpPr txBox="1">
          <a:spLocks noChangeArrowheads="1"/>
        </xdr:cNvSpPr>
      </xdr:nvSpPr>
      <xdr:spPr bwMode="auto">
        <a:xfrm>
          <a:off x="5407856" y="3236308"/>
          <a:ext cx="445956" cy="276999"/>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ClrTx/>
            <a:buSzTx/>
            <a:buFontTx/>
            <a:buNone/>
          </a:pPr>
          <a:r>
            <a:rPr lang="en-US" sz="1200"/>
            <a:t>YES</a:t>
          </a:r>
        </a:p>
      </xdr:txBody>
    </xdr:sp>
    <xdr:clientData/>
  </xdr:twoCellAnchor>
  <xdr:twoCellAnchor>
    <xdr:from>
      <xdr:col>13</xdr:col>
      <xdr:colOff>394695</xdr:colOff>
      <xdr:row>16</xdr:row>
      <xdr:rowOff>188308</xdr:rowOff>
    </xdr:from>
    <xdr:to>
      <xdr:col>14</xdr:col>
      <xdr:colOff>231051</xdr:colOff>
      <xdr:row>18</xdr:row>
      <xdr:rowOff>84307</xdr:rowOff>
    </xdr:to>
    <xdr:sp macro="" textlink="">
      <xdr:nvSpPr>
        <xdr:cNvPr id="17" name="Text Box 23">
          <a:extLst>
            <a:ext uri="{FF2B5EF4-FFF2-40B4-BE49-F238E27FC236}">
              <a16:creationId xmlns:a16="http://schemas.microsoft.com/office/drawing/2014/main" id="{00000000-0008-0000-1900-000011000000}"/>
            </a:ext>
          </a:extLst>
        </xdr:cNvPr>
        <xdr:cNvSpPr txBox="1">
          <a:spLocks noChangeArrowheads="1"/>
        </xdr:cNvSpPr>
      </xdr:nvSpPr>
      <xdr:spPr bwMode="auto">
        <a:xfrm>
          <a:off x="8319495" y="3236308"/>
          <a:ext cx="445956" cy="276999"/>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ClrTx/>
            <a:buSzTx/>
            <a:buFontTx/>
            <a:buNone/>
          </a:pPr>
          <a:r>
            <a:rPr lang="en-US" sz="1200"/>
            <a:t>YES</a:t>
          </a:r>
        </a:p>
      </xdr:txBody>
    </xdr:sp>
    <xdr:clientData/>
  </xdr:twoCellAnchor>
  <xdr:twoCellAnchor>
    <xdr:from>
      <xdr:col>11</xdr:col>
      <xdr:colOff>67444</xdr:colOff>
      <xdr:row>14</xdr:row>
      <xdr:rowOff>173785</xdr:rowOff>
    </xdr:from>
    <xdr:to>
      <xdr:col>11</xdr:col>
      <xdr:colOff>362217</xdr:colOff>
      <xdr:row>17</xdr:row>
      <xdr:rowOff>87359</xdr:rowOff>
    </xdr:to>
    <xdr:sp macro="" textlink="">
      <xdr:nvSpPr>
        <xdr:cNvPr id="18" name="Arc 24">
          <a:extLst>
            <a:ext uri="{FF2B5EF4-FFF2-40B4-BE49-F238E27FC236}">
              <a16:creationId xmlns:a16="http://schemas.microsoft.com/office/drawing/2014/main" id="{00000000-0008-0000-1900-000012000000}"/>
            </a:ext>
          </a:extLst>
        </xdr:cNvPr>
        <xdr:cNvSpPr>
          <a:spLocks/>
        </xdr:cNvSpPr>
      </xdr:nvSpPr>
      <xdr:spPr bwMode="auto">
        <a:xfrm>
          <a:off x="6773044" y="2840785"/>
          <a:ext cx="294773" cy="485074"/>
        </a:xfrm>
        <a:custGeom>
          <a:avLst/>
          <a:gdLst>
            <a:gd name="G0" fmla="+- 0 0 0"/>
            <a:gd name="G1" fmla="+- 21600 0 0"/>
            <a:gd name="G2" fmla="+- 21600 0 0"/>
            <a:gd name="T0" fmla="*/ 0 w 21600"/>
            <a:gd name="T1" fmla="*/ 0 h 25987"/>
            <a:gd name="T2" fmla="*/ 21150 w 21600"/>
            <a:gd name="T3" fmla="*/ 25987 h 25987"/>
            <a:gd name="T4" fmla="*/ 0 w 21600"/>
            <a:gd name="T5" fmla="*/ 21600 h 25987"/>
          </a:gdLst>
          <a:ahLst/>
          <a:cxnLst>
            <a:cxn ang="0">
              <a:pos x="T0" y="T1"/>
            </a:cxn>
            <a:cxn ang="0">
              <a:pos x="T2" y="T3"/>
            </a:cxn>
            <a:cxn ang="0">
              <a:pos x="T4" y="T5"/>
            </a:cxn>
          </a:cxnLst>
          <a:rect l="0" t="0" r="r" b="b"/>
          <a:pathLst>
            <a:path w="21600" h="25987" fill="none" extrusionOk="0">
              <a:moveTo>
                <a:pt x="-1" y="0"/>
              </a:moveTo>
              <a:cubicBezTo>
                <a:pt x="11929" y="0"/>
                <a:pt x="21600" y="9670"/>
                <a:pt x="21600" y="21600"/>
              </a:cubicBezTo>
              <a:cubicBezTo>
                <a:pt x="21600" y="23073"/>
                <a:pt x="21449" y="24543"/>
                <a:pt x="21149" y="25986"/>
              </a:cubicBezTo>
            </a:path>
            <a:path w="21600" h="25987" stroke="0" extrusionOk="0">
              <a:moveTo>
                <a:pt x="-1" y="0"/>
              </a:moveTo>
              <a:cubicBezTo>
                <a:pt x="11929" y="0"/>
                <a:pt x="21600" y="9670"/>
                <a:pt x="21600" y="21600"/>
              </a:cubicBezTo>
              <a:cubicBezTo>
                <a:pt x="21600" y="23073"/>
                <a:pt x="21449" y="24543"/>
                <a:pt x="21149" y="25986"/>
              </a:cubicBezTo>
              <a:lnTo>
                <a:pt x="0" y="21600"/>
              </a:lnTo>
              <a:close/>
            </a:path>
          </a:pathLst>
        </a:custGeom>
        <a:noFill/>
        <a:ln w="12700">
          <a:solidFill>
            <a:schemeClr val="tx1"/>
          </a:solidFill>
          <a:round/>
          <a:headEn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sz="2800"/>
        </a:p>
      </xdr:txBody>
    </xdr:sp>
    <xdr:clientData/>
  </xdr:twoCellAnchor>
  <xdr:twoCellAnchor>
    <xdr:from>
      <xdr:col>11</xdr:col>
      <xdr:colOff>478340</xdr:colOff>
      <xdr:row>14</xdr:row>
      <xdr:rowOff>182741</xdr:rowOff>
    </xdr:from>
    <xdr:to>
      <xdr:col>12</xdr:col>
      <xdr:colOff>163513</xdr:colOff>
      <xdr:row>17</xdr:row>
      <xdr:rowOff>82882</xdr:rowOff>
    </xdr:to>
    <xdr:sp macro="" textlink="">
      <xdr:nvSpPr>
        <xdr:cNvPr id="19" name="Arc 25">
          <a:extLst>
            <a:ext uri="{FF2B5EF4-FFF2-40B4-BE49-F238E27FC236}">
              <a16:creationId xmlns:a16="http://schemas.microsoft.com/office/drawing/2014/main" id="{00000000-0008-0000-1900-000013000000}"/>
            </a:ext>
          </a:extLst>
        </xdr:cNvPr>
        <xdr:cNvSpPr>
          <a:spLocks/>
        </xdr:cNvSpPr>
      </xdr:nvSpPr>
      <xdr:spPr bwMode="auto">
        <a:xfrm flipH="1">
          <a:off x="7183940" y="2849741"/>
          <a:ext cx="294773" cy="471641"/>
        </a:xfrm>
        <a:custGeom>
          <a:avLst/>
          <a:gdLst>
            <a:gd name="G0" fmla="+- 0 0 0"/>
            <a:gd name="G1" fmla="+- 21600 0 0"/>
            <a:gd name="G2" fmla="+- 21600 0 0"/>
            <a:gd name="T0" fmla="*/ 0 w 21600"/>
            <a:gd name="T1" fmla="*/ 0 h 25303"/>
            <a:gd name="T2" fmla="*/ 21280 w 21600"/>
            <a:gd name="T3" fmla="*/ 25303 h 25303"/>
            <a:gd name="T4" fmla="*/ 0 w 21600"/>
            <a:gd name="T5" fmla="*/ 21600 h 25303"/>
          </a:gdLst>
          <a:ahLst/>
          <a:cxnLst>
            <a:cxn ang="0">
              <a:pos x="T0" y="T1"/>
            </a:cxn>
            <a:cxn ang="0">
              <a:pos x="T2" y="T3"/>
            </a:cxn>
            <a:cxn ang="0">
              <a:pos x="T4" y="T5"/>
            </a:cxn>
          </a:cxnLst>
          <a:rect l="0" t="0" r="r" b="b"/>
          <a:pathLst>
            <a:path w="21600" h="25303" fill="none" extrusionOk="0">
              <a:moveTo>
                <a:pt x="-1" y="0"/>
              </a:moveTo>
              <a:cubicBezTo>
                <a:pt x="11929" y="0"/>
                <a:pt x="21600" y="9670"/>
                <a:pt x="21600" y="21600"/>
              </a:cubicBezTo>
              <a:cubicBezTo>
                <a:pt x="21600" y="22841"/>
                <a:pt x="21493" y="24080"/>
                <a:pt x="21280" y="25303"/>
              </a:cubicBezTo>
            </a:path>
            <a:path w="21600" h="25303" stroke="0" extrusionOk="0">
              <a:moveTo>
                <a:pt x="-1" y="0"/>
              </a:moveTo>
              <a:cubicBezTo>
                <a:pt x="11929" y="0"/>
                <a:pt x="21600" y="9670"/>
                <a:pt x="21600" y="21600"/>
              </a:cubicBezTo>
              <a:cubicBezTo>
                <a:pt x="21600" y="22841"/>
                <a:pt x="21493" y="24080"/>
                <a:pt x="21280" y="25303"/>
              </a:cubicBezTo>
              <a:lnTo>
                <a:pt x="0" y="21600"/>
              </a:lnTo>
              <a:close/>
            </a:path>
          </a:pathLst>
        </a:custGeom>
        <a:noFill/>
        <a:ln w="12700">
          <a:solidFill>
            <a:schemeClr val="tx1"/>
          </a:solidFill>
          <a:round/>
          <a:headEn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sz="2800"/>
        </a:p>
      </xdr:txBody>
    </xdr:sp>
    <xdr:clientData/>
  </xdr:twoCellAnchor>
  <xdr:twoCellAnchor>
    <xdr:from>
      <xdr:col>8</xdr:col>
      <xdr:colOff>249208</xdr:colOff>
      <xdr:row>21</xdr:row>
      <xdr:rowOff>94288</xdr:rowOff>
    </xdr:from>
    <xdr:to>
      <xdr:col>10</xdr:col>
      <xdr:colOff>592139</xdr:colOff>
      <xdr:row>26</xdr:row>
      <xdr:rowOff>97010</xdr:rowOff>
    </xdr:to>
    <xdr:sp macro="" textlink="">
      <xdr:nvSpPr>
        <xdr:cNvPr id="20" name="AutoShape 26">
          <a:extLst>
            <a:ext uri="{FF2B5EF4-FFF2-40B4-BE49-F238E27FC236}">
              <a16:creationId xmlns:a16="http://schemas.microsoft.com/office/drawing/2014/main" id="{00000000-0008-0000-1900-000014000000}"/>
            </a:ext>
          </a:extLst>
        </xdr:cNvPr>
        <xdr:cNvSpPr>
          <a:spLocks noChangeArrowheads="1"/>
        </xdr:cNvSpPr>
      </xdr:nvSpPr>
      <xdr:spPr bwMode="auto">
        <a:xfrm>
          <a:off x="5126008" y="4094788"/>
          <a:ext cx="1562131" cy="955222"/>
        </a:xfrm>
        <a:prstGeom prst="flowChartDecision">
          <a:avLst/>
        </a:prstGeom>
        <a:ln>
          <a:solidFill>
            <a:srgbClr val="00528E"/>
          </a:solidFill>
          <a:headEnd/>
          <a:tailEnd/>
        </a:ln>
      </xdr:spPr>
      <xdr:style>
        <a:lnRef idx="2">
          <a:schemeClr val="accent4"/>
        </a:lnRef>
        <a:fillRef idx="1">
          <a:schemeClr val="lt1"/>
        </a:fillRef>
        <a:effectRef idx="0">
          <a:schemeClr val="accent4"/>
        </a:effectRef>
        <a:fontRef idx="minor">
          <a:schemeClr val="dk1"/>
        </a:fontRef>
      </xdr:style>
      <xdr:txBody>
        <a:bodyPr wrap="square"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spcBef>
              <a:spcPct val="0"/>
            </a:spcBef>
            <a:buClrTx/>
            <a:buSzTx/>
            <a:buFontTx/>
            <a:buNone/>
          </a:pPr>
          <a:endParaRPr lang="en-US" sz="1000"/>
        </a:p>
      </xdr:txBody>
    </xdr:sp>
    <xdr:clientData/>
  </xdr:twoCellAnchor>
  <xdr:twoCellAnchor>
    <xdr:from>
      <xdr:col>10</xdr:col>
      <xdr:colOff>161079</xdr:colOff>
      <xdr:row>25</xdr:row>
      <xdr:rowOff>55894</xdr:rowOff>
    </xdr:from>
    <xdr:to>
      <xdr:col>10</xdr:col>
      <xdr:colOff>607035</xdr:colOff>
      <xdr:row>26</xdr:row>
      <xdr:rowOff>142393</xdr:rowOff>
    </xdr:to>
    <xdr:sp macro="" textlink="">
      <xdr:nvSpPr>
        <xdr:cNvPr id="21" name="Text Box 27">
          <a:extLst>
            <a:ext uri="{FF2B5EF4-FFF2-40B4-BE49-F238E27FC236}">
              <a16:creationId xmlns:a16="http://schemas.microsoft.com/office/drawing/2014/main" id="{00000000-0008-0000-1900-000015000000}"/>
            </a:ext>
          </a:extLst>
        </xdr:cNvPr>
        <xdr:cNvSpPr txBox="1">
          <a:spLocks noChangeArrowheads="1"/>
        </xdr:cNvSpPr>
      </xdr:nvSpPr>
      <xdr:spPr bwMode="auto">
        <a:xfrm>
          <a:off x="6257079" y="4818394"/>
          <a:ext cx="445956" cy="276999"/>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ClrTx/>
            <a:buSzTx/>
            <a:buFontTx/>
            <a:buNone/>
          </a:pPr>
          <a:r>
            <a:rPr lang="en-US" sz="1200"/>
            <a:t>YES</a:t>
          </a:r>
        </a:p>
      </xdr:txBody>
    </xdr:sp>
    <xdr:clientData/>
  </xdr:twoCellAnchor>
  <xdr:twoCellAnchor>
    <xdr:from>
      <xdr:col>8</xdr:col>
      <xdr:colOff>263200</xdr:colOff>
      <xdr:row>25</xdr:row>
      <xdr:rowOff>55894</xdr:rowOff>
    </xdr:from>
    <xdr:to>
      <xdr:col>9</xdr:col>
      <xdr:colOff>69098</xdr:colOff>
      <xdr:row>26</xdr:row>
      <xdr:rowOff>142393</xdr:rowOff>
    </xdr:to>
    <xdr:sp macro="" textlink="">
      <xdr:nvSpPr>
        <xdr:cNvPr id="22" name="Text Box 28">
          <a:extLst>
            <a:ext uri="{FF2B5EF4-FFF2-40B4-BE49-F238E27FC236}">
              <a16:creationId xmlns:a16="http://schemas.microsoft.com/office/drawing/2014/main" id="{00000000-0008-0000-1900-000016000000}"/>
            </a:ext>
          </a:extLst>
        </xdr:cNvPr>
        <xdr:cNvSpPr txBox="1">
          <a:spLocks noChangeArrowheads="1"/>
        </xdr:cNvSpPr>
      </xdr:nvSpPr>
      <xdr:spPr bwMode="auto">
        <a:xfrm>
          <a:off x="5140000" y="4818394"/>
          <a:ext cx="415498" cy="276999"/>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ClrTx/>
            <a:buSzTx/>
            <a:buFontTx/>
            <a:buNone/>
          </a:pPr>
          <a:r>
            <a:rPr lang="en-US" sz="1200"/>
            <a:t>NO</a:t>
          </a:r>
        </a:p>
      </xdr:txBody>
    </xdr:sp>
    <xdr:clientData/>
  </xdr:twoCellAnchor>
  <xdr:twoCellAnchor>
    <xdr:from>
      <xdr:col>9</xdr:col>
      <xdr:colOff>528385</xdr:colOff>
      <xdr:row>27</xdr:row>
      <xdr:rowOff>133100</xdr:rowOff>
    </xdr:from>
    <xdr:to>
      <xdr:col>11</xdr:col>
      <xdr:colOff>95247</xdr:colOff>
      <xdr:row>30</xdr:row>
      <xdr:rowOff>55090</xdr:rowOff>
    </xdr:to>
    <xdr:sp macro="" textlink="">
      <xdr:nvSpPr>
        <xdr:cNvPr id="23" name="Rectangle 22">
          <a:hlinkClick xmlns:r="http://schemas.openxmlformats.org/officeDocument/2006/relationships" r:id="rId3"/>
          <a:extLst>
            <a:ext uri="{FF2B5EF4-FFF2-40B4-BE49-F238E27FC236}">
              <a16:creationId xmlns:a16="http://schemas.microsoft.com/office/drawing/2014/main" id="{00000000-0008-0000-1900-000017000000}"/>
            </a:ext>
          </a:extLst>
        </xdr:cNvPr>
        <xdr:cNvSpPr>
          <a:spLocks noChangeArrowheads="1"/>
        </xdr:cNvSpPr>
      </xdr:nvSpPr>
      <xdr:spPr bwMode="auto">
        <a:xfrm>
          <a:off x="6014785" y="5276600"/>
          <a:ext cx="786062" cy="493490"/>
        </a:xfrm>
        <a:prstGeom prst="rect">
          <a:avLst/>
        </a:prstGeom>
        <a:solidFill>
          <a:srgbClr val="8EB4E3"/>
        </a:solidFill>
        <a:ln>
          <a:headEnd/>
          <a:tailEnd/>
        </a:ln>
      </xdr:spPr>
      <xdr:style>
        <a:lnRef idx="3">
          <a:schemeClr val="lt1"/>
        </a:lnRef>
        <a:fillRef idx="1">
          <a:schemeClr val="accent3"/>
        </a:fillRef>
        <a:effectRef idx="1">
          <a:schemeClr val="accent3"/>
        </a:effectRef>
        <a:fontRef idx="minor">
          <a:schemeClr val="lt1"/>
        </a:fontRef>
      </xdr:style>
      <xdr:txBody>
        <a:bodyPr wrap="square"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spcBef>
              <a:spcPct val="0"/>
            </a:spcBef>
            <a:buClrTx/>
            <a:buSzTx/>
            <a:buFontTx/>
            <a:buNone/>
          </a:pPr>
          <a:r>
            <a:rPr lang="en-US" sz="1600">
              <a:solidFill>
                <a:schemeClr val="tx2"/>
              </a:solidFill>
            </a:rPr>
            <a:t>c chart</a:t>
          </a:r>
        </a:p>
      </xdr:txBody>
    </xdr:sp>
    <xdr:clientData/>
  </xdr:twoCellAnchor>
  <xdr:twoCellAnchor>
    <xdr:from>
      <xdr:col>8</xdr:col>
      <xdr:colOff>110744</xdr:colOff>
      <xdr:row>27</xdr:row>
      <xdr:rowOff>133100</xdr:rowOff>
    </xdr:from>
    <xdr:to>
      <xdr:col>9</xdr:col>
      <xdr:colOff>287206</xdr:colOff>
      <xdr:row>30</xdr:row>
      <xdr:rowOff>55090</xdr:rowOff>
    </xdr:to>
    <xdr:sp macro="" textlink="">
      <xdr:nvSpPr>
        <xdr:cNvPr id="24" name="Rectangle 23">
          <a:hlinkClick xmlns:r="http://schemas.openxmlformats.org/officeDocument/2006/relationships" r:id="rId4"/>
          <a:extLst>
            <a:ext uri="{FF2B5EF4-FFF2-40B4-BE49-F238E27FC236}">
              <a16:creationId xmlns:a16="http://schemas.microsoft.com/office/drawing/2014/main" id="{00000000-0008-0000-1900-000018000000}"/>
            </a:ext>
          </a:extLst>
        </xdr:cNvPr>
        <xdr:cNvSpPr>
          <a:spLocks noChangeArrowheads="1"/>
        </xdr:cNvSpPr>
      </xdr:nvSpPr>
      <xdr:spPr bwMode="auto">
        <a:xfrm>
          <a:off x="4987544" y="5276600"/>
          <a:ext cx="786062" cy="493490"/>
        </a:xfrm>
        <a:prstGeom prst="rect">
          <a:avLst/>
        </a:prstGeom>
        <a:solidFill>
          <a:srgbClr val="8EB4E3"/>
        </a:solidFill>
        <a:ln>
          <a:headEnd/>
          <a:tailEnd/>
        </a:ln>
      </xdr:spPr>
      <xdr:style>
        <a:lnRef idx="3">
          <a:schemeClr val="lt1"/>
        </a:lnRef>
        <a:fillRef idx="1">
          <a:schemeClr val="accent3"/>
        </a:fillRef>
        <a:effectRef idx="1">
          <a:schemeClr val="accent3"/>
        </a:effectRef>
        <a:fontRef idx="minor">
          <a:schemeClr val="lt1"/>
        </a:fontRef>
      </xdr:style>
      <xdr:txBody>
        <a:bodyPr wrap="square"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spcBef>
              <a:spcPct val="0"/>
            </a:spcBef>
            <a:buClrTx/>
            <a:buSzTx/>
            <a:buFontTx/>
            <a:buNone/>
          </a:pPr>
          <a:r>
            <a:rPr lang="en-US" sz="1600">
              <a:solidFill>
                <a:schemeClr val="tx2"/>
              </a:solidFill>
            </a:rPr>
            <a:t>u chart</a:t>
          </a:r>
        </a:p>
      </xdr:txBody>
    </xdr:sp>
    <xdr:clientData/>
  </xdr:twoCellAnchor>
  <xdr:twoCellAnchor>
    <xdr:from>
      <xdr:col>8</xdr:col>
      <xdr:colOff>273139</xdr:colOff>
      <xdr:row>24</xdr:row>
      <xdr:rowOff>46393</xdr:rowOff>
    </xdr:from>
    <xdr:to>
      <xdr:col>8</xdr:col>
      <xdr:colOff>273139</xdr:colOff>
      <xdr:row>27</xdr:row>
      <xdr:rowOff>116683</xdr:rowOff>
    </xdr:to>
    <xdr:sp macro="" textlink="">
      <xdr:nvSpPr>
        <xdr:cNvPr id="25" name="Line 31">
          <a:extLst>
            <a:ext uri="{FF2B5EF4-FFF2-40B4-BE49-F238E27FC236}">
              <a16:creationId xmlns:a16="http://schemas.microsoft.com/office/drawing/2014/main" id="{00000000-0008-0000-1900-000019000000}"/>
            </a:ext>
          </a:extLst>
        </xdr:cNvPr>
        <xdr:cNvSpPr>
          <a:spLocks noChangeShapeType="1"/>
        </xdr:cNvSpPr>
      </xdr:nvSpPr>
      <xdr:spPr bwMode="auto">
        <a:xfrm>
          <a:off x="5149939" y="4618393"/>
          <a:ext cx="0" cy="641790"/>
        </a:xfrm>
        <a:prstGeom prst="line">
          <a:avLst/>
        </a:prstGeom>
        <a:noFill/>
        <a:ln w="12700">
          <a:solidFill>
            <a:schemeClr val="tx1"/>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sz="2800"/>
        </a:p>
      </xdr:txBody>
    </xdr:sp>
    <xdr:clientData/>
  </xdr:twoCellAnchor>
  <xdr:twoCellAnchor>
    <xdr:from>
      <xdr:col>13</xdr:col>
      <xdr:colOff>473963</xdr:colOff>
      <xdr:row>27</xdr:row>
      <xdr:rowOff>133100</xdr:rowOff>
    </xdr:from>
    <xdr:to>
      <xdr:col>15</xdr:col>
      <xdr:colOff>40825</xdr:colOff>
      <xdr:row>30</xdr:row>
      <xdr:rowOff>55090</xdr:rowOff>
    </xdr:to>
    <xdr:sp macro="" textlink="">
      <xdr:nvSpPr>
        <xdr:cNvPr id="26" name="Rectangle 25">
          <a:hlinkClick xmlns:r="http://schemas.openxmlformats.org/officeDocument/2006/relationships" r:id="rId5"/>
          <a:extLst>
            <a:ext uri="{FF2B5EF4-FFF2-40B4-BE49-F238E27FC236}">
              <a16:creationId xmlns:a16="http://schemas.microsoft.com/office/drawing/2014/main" id="{00000000-0008-0000-1900-00001A000000}"/>
            </a:ext>
          </a:extLst>
        </xdr:cNvPr>
        <xdr:cNvSpPr>
          <a:spLocks noChangeArrowheads="1"/>
        </xdr:cNvSpPr>
      </xdr:nvSpPr>
      <xdr:spPr bwMode="auto">
        <a:xfrm>
          <a:off x="8398763" y="5276600"/>
          <a:ext cx="786062" cy="493490"/>
        </a:xfrm>
        <a:prstGeom prst="rect">
          <a:avLst/>
        </a:prstGeom>
        <a:solidFill>
          <a:srgbClr val="8EB4E3"/>
        </a:solidFill>
        <a:ln>
          <a:headEnd/>
          <a:tailEnd/>
        </a:ln>
      </xdr:spPr>
      <xdr:style>
        <a:lnRef idx="3">
          <a:schemeClr val="lt1"/>
        </a:lnRef>
        <a:fillRef idx="1">
          <a:schemeClr val="accent3"/>
        </a:fillRef>
        <a:effectRef idx="1">
          <a:schemeClr val="accent3"/>
        </a:effectRef>
        <a:fontRef idx="minor">
          <a:schemeClr val="lt1"/>
        </a:fontRef>
      </xdr:style>
      <xdr:txBody>
        <a:bodyPr wrap="square"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spcBef>
              <a:spcPct val="0"/>
            </a:spcBef>
            <a:buClrTx/>
            <a:buSzTx/>
            <a:buFontTx/>
            <a:buNone/>
          </a:pPr>
          <a:r>
            <a:rPr lang="en-US" sz="1600">
              <a:solidFill>
                <a:schemeClr val="tx2"/>
              </a:solidFill>
            </a:rPr>
            <a:t>np chart</a:t>
          </a:r>
        </a:p>
      </xdr:txBody>
    </xdr:sp>
    <xdr:clientData/>
  </xdr:twoCellAnchor>
  <xdr:twoCellAnchor>
    <xdr:from>
      <xdr:col>12</xdr:col>
      <xdr:colOff>174460</xdr:colOff>
      <xdr:row>25</xdr:row>
      <xdr:rowOff>55894</xdr:rowOff>
    </xdr:from>
    <xdr:to>
      <xdr:col>12</xdr:col>
      <xdr:colOff>589958</xdr:colOff>
      <xdr:row>26</xdr:row>
      <xdr:rowOff>142393</xdr:rowOff>
    </xdr:to>
    <xdr:sp macro="" textlink="">
      <xdr:nvSpPr>
        <xdr:cNvPr id="27" name="Text Box 34">
          <a:extLst>
            <a:ext uri="{FF2B5EF4-FFF2-40B4-BE49-F238E27FC236}">
              <a16:creationId xmlns:a16="http://schemas.microsoft.com/office/drawing/2014/main" id="{00000000-0008-0000-1900-00001B000000}"/>
            </a:ext>
          </a:extLst>
        </xdr:cNvPr>
        <xdr:cNvSpPr txBox="1">
          <a:spLocks noChangeArrowheads="1"/>
        </xdr:cNvSpPr>
      </xdr:nvSpPr>
      <xdr:spPr bwMode="auto">
        <a:xfrm>
          <a:off x="7489660" y="4818394"/>
          <a:ext cx="415498" cy="276999"/>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ClrTx/>
            <a:buSzTx/>
            <a:buFontTx/>
            <a:buNone/>
          </a:pPr>
          <a:r>
            <a:rPr lang="en-US" sz="1200"/>
            <a:t>NO</a:t>
          </a:r>
        </a:p>
      </xdr:txBody>
    </xdr:sp>
    <xdr:clientData/>
  </xdr:twoCellAnchor>
  <xdr:twoCellAnchor>
    <xdr:from>
      <xdr:col>14</xdr:col>
      <xdr:colOff>52690</xdr:colOff>
      <xdr:row>25</xdr:row>
      <xdr:rowOff>55894</xdr:rowOff>
    </xdr:from>
    <xdr:to>
      <xdr:col>14</xdr:col>
      <xdr:colOff>498646</xdr:colOff>
      <xdr:row>26</xdr:row>
      <xdr:rowOff>142393</xdr:rowOff>
    </xdr:to>
    <xdr:sp macro="" textlink="">
      <xdr:nvSpPr>
        <xdr:cNvPr id="28" name="Text Box 35">
          <a:extLst>
            <a:ext uri="{FF2B5EF4-FFF2-40B4-BE49-F238E27FC236}">
              <a16:creationId xmlns:a16="http://schemas.microsoft.com/office/drawing/2014/main" id="{00000000-0008-0000-1900-00001C000000}"/>
            </a:ext>
          </a:extLst>
        </xdr:cNvPr>
        <xdr:cNvSpPr txBox="1">
          <a:spLocks noChangeArrowheads="1"/>
        </xdr:cNvSpPr>
      </xdr:nvSpPr>
      <xdr:spPr bwMode="auto">
        <a:xfrm>
          <a:off x="8587090" y="4818394"/>
          <a:ext cx="445956" cy="276999"/>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ClrTx/>
            <a:buSzTx/>
            <a:buFontTx/>
            <a:buNone/>
          </a:pPr>
          <a:r>
            <a:rPr lang="en-US" sz="1200"/>
            <a:t>YES</a:t>
          </a:r>
        </a:p>
      </xdr:txBody>
    </xdr:sp>
    <xdr:clientData/>
  </xdr:twoCellAnchor>
  <xdr:twoCellAnchor>
    <xdr:from>
      <xdr:col>12</xdr:col>
      <xdr:colOff>92052</xdr:colOff>
      <xdr:row>27</xdr:row>
      <xdr:rowOff>133100</xdr:rowOff>
    </xdr:from>
    <xdr:to>
      <xdr:col>13</xdr:col>
      <xdr:colOff>268514</xdr:colOff>
      <xdr:row>30</xdr:row>
      <xdr:rowOff>55090</xdr:rowOff>
    </xdr:to>
    <xdr:sp macro="" textlink="">
      <xdr:nvSpPr>
        <xdr:cNvPr id="29" name="Rectangle 28">
          <a:hlinkClick xmlns:r="http://schemas.openxmlformats.org/officeDocument/2006/relationships" r:id="rId6"/>
          <a:extLst>
            <a:ext uri="{FF2B5EF4-FFF2-40B4-BE49-F238E27FC236}">
              <a16:creationId xmlns:a16="http://schemas.microsoft.com/office/drawing/2014/main" id="{00000000-0008-0000-1900-00001D000000}"/>
            </a:ext>
          </a:extLst>
        </xdr:cNvPr>
        <xdr:cNvSpPr>
          <a:spLocks noChangeArrowheads="1"/>
        </xdr:cNvSpPr>
      </xdr:nvSpPr>
      <xdr:spPr bwMode="auto">
        <a:xfrm>
          <a:off x="7407252" y="5276600"/>
          <a:ext cx="786062" cy="493490"/>
        </a:xfrm>
        <a:prstGeom prst="rect">
          <a:avLst/>
        </a:prstGeom>
        <a:solidFill>
          <a:srgbClr val="8EB4E3"/>
        </a:solidFill>
        <a:ln>
          <a:headEnd/>
          <a:tailEnd/>
        </a:ln>
      </xdr:spPr>
      <xdr:style>
        <a:lnRef idx="3">
          <a:schemeClr val="lt1"/>
        </a:lnRef>
        <a:fillRef idx="1">
          <a:schemeClr val="accent3"/>
        </a:fillRef>
        <a:effectRef idx="1">
          <a:schemeClr val="accent3"/>
        </a:effectRef>
        <a:fontRef idx="minor">
          <a:schemeClr val="lt1"/>
        </a:fontRef>
      </xdr:style>
      <xdr:txBody>
        <a:bodyPr wrap="square"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spcBef>
              <a:spcPct val="0"/>
            </a:spcBef>
            <a:buClrTx/>
            <a:buSzTx/>
            <a:buFontTx/>
            <a:buNone/>
          </a:pPr>
          <a:r>
            <a:rPr lang="en-US" sz="1600">
              <a:solidFill>
                <a:schemeClr val="tx2"/>
              </a:solidFill>
            </a:rPr>
            <a:t>p chart</a:t>
          </a:r>
        </a:p>
      </xdr:txBody>
    </xdr:sp>
    <xdr:clientData/>
  </xdr:twoCellAnchor>
  <xdr:twoCellAnchor>
    <xdr:from>
      <xdr:col>12</xdr:col>
      <xdr:colOff>201064</xdr:colOff>
      <xdr:row>23</xdr:row>
      <xdr:rowOff>171222</xdr:rowOff>
    </xdr:from>
    <xdr:to>
      <xdr:col>12</xdr:col>
      <xdr:colOff>201064</xdr:colOff>
      <xdr:row>27</xdr:row>
      <xdr:rowOff>134594</xdr:rowOff>
    </xdr:to>
    <xdr:sp macro="" textlink="">
      <xdr:nvSpPr>
        <xdr:cNvPr id="30" name="Line 37">
          <a:extLst>
            <a:ext uri="{FF2B5EF4-FFF2-40B4-BE49-F238E27FC236}">
              <a16:creationId xmlns:a16="http://schemas.microsoft.com/office/drawing/2014/main" id="{00000000-0008-0000-1900-00001E000000}"/>
            </a:ext>
          </a:extLst>
        </xdr:cNvPr>
        <xdr:cNvSpPr>
          <a:spLocks noChangeShapeType="1"/>
        </xdr:cNvSpPr>
      </xdr:nvSpPr>
      <xdr:spPr bwMode="auto">
        <a:xfrm>
          <a:off x="7516264" y="4552722"/>
          <a:ext cx="0" cy="725372"/>
        </a:xfrm>
        <a:prstGeom prst="line">
          <a:avLst/>
        </a:prstGeom>
        <a:noFill/>
        <a:ln w="12700">
          <a:solidFill>
            <a:schemeClr val="tx1"/>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sz="2800"/>
        </a:p>
      </xdr:txBody>
    </xdr:sp>
    <xdr:clientData/>
  </xdr:twoCellAnchor>
  <xdr:twoCellAnchor>
    <xdr:from>
      <xdr:col>14</xdr:col>
      <xdr:colOff>494032</xdr:colOff>
      <xdr:row>23</xdr:row>
      <xdr:rowOff>171222</xdr:rowOff>
    </xdr:from>
    <xdr:to>
      <xdr:col>14</xdr:col>
      <xdr:colOff>494032</xdr:colOff>
      <xdr:row>27</xdr:row>
      <xdr:rowOff>134594</xdr:rowOff>
    </xdr:to>
    <xdr:sp macro="" textlink="">
      <xdr:nvSpPr>
        <xdr:cNvPr id="31" name="Line 38">
          <a:extLst>
            <a:ext uri="{FF2B5EF4-FFF2-40B4-BE49-F238E27FC236}">
              <a16:creationId xmlns:a16="http://schemas.microsoft.com/office/drawing/2014/main" id="{00000000-0008-0000-1900-00001F000000}"/>
            </a:ext>
          </a:extLst>
        </xdr:cNvPr>
        <xdr:cNvSpPr>
          <a:spLocks noChangeShapeType="1"/>
        </xdr:cNvSpPr>
      </xdr:nvSpPr>
      <xdr:spPr bwMode="auto">
        <a:xfrm>
          <a:off x="9028432" y="4552722"/>
          <a:ext cx="0" cy="725372"/>
        </a:xfrm>
        <a:prstGeom prst="line">
          <a:avLst/>
        </a:prstGeom>
        <a:noFill/>
        <a:ln w="12700">
          <a:solidFill>
            <a:schemeClr val="tx1"/>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sz="2800"/>
        </a:p>
      </xdr:txBody>
    </xdr:sp>
    <xdr:clientData/>
  </xdr:twoCellAnchor>
  <xdr:twoCellAnchor>
    <xdr:from>
      <xdr:col>9</xdr:col>
      <xdr:colOff>420188</xdr:colOff>
      <xdr:row>15</xdr:row>
      <xdr:rowOff>80302</xdr:rowOff>
    </xdr:from>
    <xdr:to>
      <xdr:col>9</xdr:col>
      <xdr:colOff>420188</xdr:colOff>
      <xdr:row>21</xdr:row>
      <xdr:rowOff>94289</xdr:rowOff>
    </xdr:to>
    <xdr:sp macro="" textlink="">
      <xdr:nvSpPr>
        <xdr:cNvPr id="32" name="Line 39">
          <a:extLst>
            <a:ext uri="{FF2B5EF4-FFF2-40B4-BE49-F238E27FC236}">
              <a16:creationId xmlns:a16="http://schemas.microsoft.com/office/drawing/2014/main" id="{00000000-0008-0000-1900-000020000000}"/>
            </a:ext>
          </a:extLst>
        </xdr:cNvPr>
        <xdr:cNvSpPr>
          <a:spLocks noChangeShapeType="1"/>
        </xdr:cNvSpPr>
      </xdr:nvSpPr>
      <xdr:spPr bwMode="auto">
        <a:xfrm flipH="1">
          <a:off x="5906588" y="2937802"/>
          <a:ext cx="0" cy="1156987"/>
        </a:xfrm>
        <a:prstGeom prst="line">
          <a:avLst/>
        </a:prstGeom>
        <a:noFill/>
        <a:ln w="12700">
          <a:solidFill>
            <a:schemeClr val="tx1"/>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sz="2800"/>
        </a:p>
      </xdr:txBody>
    </xdr:sp>
    <xdr:clientData/>
  </xdr:twoCellAnchor>
  <xdr:twoCellAnchor>
    <xdr:from>
      <xdr:col>13</xdr:col>
      <xdr:colOff>348907</xdr:colOff>
      <xdr:row>15</xdr:row>
      <xdr:rowOff>80300</xdr:rowOff>
    </xdr:from>
    <xdr:to>
      <xdr:col>13</xdr:col>
      <xdr:colOff>348907</xdr:colOff>
      <xdr:row>21</xdr:row>
      <xdr:rowOff>94288</xdr:rowOff>
    </xdr:to>
    <xdr:sp macro="" textlink="">
      <xdr:nvSpPr>
        <xdr:cNvPr id="33" name="Line 40">
          <a:extLst>
            <a:ext uri="{FF2B5EF4-FFF2-40B4-BE49-F238E27FC236}">
              <a16:creationId xmlns:a16="http://schemas.microsoft.com/office/drawing/2014/main" id="{00000000-0008-0000-1900-000021000000}"/>
            </a:ext>
          </a:extLst>
        </xdr:cNvPr>
        <xdr:cNvSpPr>
          <a:spLocks noChangeShapeType="1"/>
        </xdr:cNvSpPr>
      </xdr:nvSpPr>
      <xdr:spPr bwMode="auto">
        <a:xfrm>
          <a:off x="8273707" y="2937800"/>
          <a:ext cx="0" cy="1156988"/>
        </a:xfrm>
        <a:prstGeom prst="line">
          <a:avLst/>
        </a:prstGeom>
        <a:noFill/>
        <a:ln w="12700">
          <a:solidFill>
            <a:schemeClr val="tx1"/>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sz="2800"/>
        </a:p>
      </xdr:txBody>
    </xdr:sp>
    <xdr:clientData/>
  </xdr:twoCellAnchor>
  <xdr:twoCellAnchor>
    <xdr:from>
      <xdr:col>10</xdr:col>
      <xdr:colOff>258197</xdr:colOff>
      <xdr:row>8</xdr:row>
      <xdr:rowOff>69976</xdr:rowOff>
    </xdr:from>
    <xdr:to>
      <xdr:col>10</xdr:col>
      <xdr:colOff>261175</xdr:colOff>
      <xdr:row>13</xdr:row>
      <xdr:rowOff>84638</xdr:rowOff>
    </xdr:to>
    <xdr:sp macro="" textlink="">
      <xdr:nvSpPr>
        <xdr:cNvPr id="34" name="Line 41">
          <a:extLst>
            <a:ext uri="{FF2B5EF4-FFF2-40B4-BE49-F238E27FC236}">
              <a16:creationId xmlns:a16="http://schemas.microsoft.com/office/drawing/2014/main" id="{00000000-0008-0000-1900-000022000000}"/>
            </a:ext>
          </a:extLst>
        </xdr:cNvPr>
        <xdr:cNvSpPr>
          <a:spLocks noChangeShapeType="1"/>
        </xdr:cNvSpPr>
      </xdr:nvSpPr>
      <xdr:spPr bwMode="auto">
        <a:xfrm flipH="1">
          <a:off x="6354197" y="1593976"/>
          <a:ext cx="2978" cy="967162"/>
        </a:xfrm>
        <a:prstGeom prst="line">
          <a:avLst/>
        </a:prstGeom>
        <a:noFill/>
        <a:ln w="12700">
          <a:solidFill>
            <a:schemeClr val="tx1"/>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sz="2800"/>
        </a:p>
      </xdr:txBody>
    </xdr:sp>
    <xdr:clientData/>
  </xdr:twoCellAnchor>
  <xdr:twoCellAnchor>
    <xdr:from>
      <xdr:col>12</xdr:col>
      <xdr:colOff>600860</xdr:colOff>
      <xdr:row>8</xdr:row>
      <xdr:rowOff>21266</xdr:rowOff>
    </xdr:from>
    <xdr:to>
      <xdr:col>12</xdr:col>
      <xdr:colOff>600860</xdr:colOff>
      <xdr:row>13</xdr:row>
      <xdr:rowOff>71749</xdr:rowOff>
    </xdr:to>
    <xdr:sp macro="" textlink="">
      <xdr:nvSpPr>
        <xdr:cNvPr id="35" name="Line 42">
          <a:extLst>
            <a:ext uri="{FF2B5EF4-FFF2-40B4-BE49-F238E27FC236}">
              <a16:creationId xmlns:a16="http://schemas.microsoft.com/office/drawing/2014/main" id="{00000000-0008-0000-1900-000023000000}"/>
            </a:ext>
          </a:extLst>
        </xdr:cNvPr>
        <xdr:cNvSpPr>
          <a:spLocks noChangeShapeType="1"/>
        </xdr:cNvSpPr>
      </xdr:nvSpPr>
      <xdr:spPr bwMode="auto">
        <a:xfrm>
          <a:off x="7916060" y="1545266"/>
          <a:ext cx="0" cy="1002983"/>
        </a:xfrm>
        <a:prstGeom prst="line">
          <a:avLst/>
        </a:prstGeom>
        <a:noFill/>
        <a:ln w="12700">
          <a:solidFill>
            <a:schemeClr val="tx1"/>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sz="2800"/>
        </a:p>
      </xdr:txBody>
    </xdr:sp>
    <xdr:clientData/>
  </xdr:twoCellAnchor>
  <xdr:twoCellAnchor>
    <xdr:from>
      <xdr:col>10</xdr:col>
      <xdr:colOff>566107</xdr:colOff>
      <xdr:row>24</xdr:row>
      <xdr:rowOff>34453</xdr:rowOff>
    </xdr:from>
    <xdr:to>
      <xdr:col>10</xdr:col>
      <xdr:colOff>566107</xdr:colOff>
      <xdr:row>27</xdr:row>
      <xdr:rowOff>116683</xdr:rowOff>
    </xdr:to>
    <xdr:sp macro="" textlink="">
      <xdr:nvSpPr>
        <xdr:cNvPr id="36" name="Line 43">
          <a:extLst>
            <a:ext uri="{FF2B5EF4-FFF2-40B4-BE49-F238E27FC236}">
              <a16:creationId xmlns:a16="http://schemas.microsoft.com/office/drawing/2014/main" id="{00000000-0008-0000-1900-000024000000}"/>
            </a:ext>
          </a:extLst>
        </xdr:cNvPr>
        <xdr:cNvSpPr>
          <a:spLocks noChangeShapeType="1"/>
        </xdr:cNvSpPr>
      </xdr:nvSpPr>
      <xdr:spPr bwMode="auto">
        <a:xfrm>
          <a:off x="6662107" y="4606453"/>
          <a:ext cx="0" cy="653730"/>
        </a:xfrm>
        <a:prstGeom prst="line">
          <a:avLst/>
        </a:prstGeom>
        <a:noFill/>
        <a:ln w="12700">
          <a:solidFill>
            <a:schemeClr val="tx1"/>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sz="2800"/>
        </a:p>
      </xdr:txBody>
    </xdr:sp>
    <xdr:clientData/>
  </xdr:twoCellAnchor>
  <xdr:twoCellAnchor>
    <xdr:from>
      <xdr:col>1</xdr:col>
      <xdr:colOff>0</xdr:colOff>
      <xdr:row>15</xdr:row>
      <xdr:rowOff>39314</xdr:rowOff>
    </xdr:from>
    <xdr:to>
      <xdr:col>5</xdr:col>
      <xdr:colOff>210082</xdr:colOff>
      <xdr:row>17</xdr:row>
      <xdr:rowOff>181534</xdr:rowOff>
    </xdr:to>
    <xdr:sp macro="" textlink="">
      <xdr:nvSpPr>
        <xdr:cNvPr id="37" name="Text Box 45">
          <a:extLst>
            <a:ext uri="{FF2B5EF4-FFF2-40B4-BE49-F238E27FC236}">
              <a16:creationId xmlns:a16="http://schemas.microsoft.com/office/drawing/2014/main" id="{00000000-0008-0000-1900-000025000000}"/>
            </a:ext>
          </a:extLst>
        </xdr:cNvPr>
        <xdr:cNvSpPr txBox="1">
          <a:spLocks noChangeArrowheads="1"/>
        </xdr:cNvSpPr>
      </xdr:nvSpPr>
      <xdr:spPr bwMode="auto">
        <a:xfrm>
          <a:off x="609600" y="2896814"/>
          <a:ext cx="2648482" cy="523220"/>
        </a:xfrm>
        <a:prstGeom prst="rect">
          <a:avLst/>
        </a:prstGeom>
        <a:noFill/>
        <a:ln>
          <a:noFill/>
        </a:ln>
        <a:effectLst/>
        <a:extLst>
          <a:ext uri="{909E8E84-426E-40DD-AFC4-6F175D3DCCD1}">
            <a14:hiddenFill xmlns:a14="http://schemas.microsoft.com/office/drawing/2010/main">
              <a:solidFill>
                <a:schemeClr val="accent1"/>
              </a:solidFill>
            </a14:hiddenFill>
          </a:ext>
          <a:ext uri="{91240B29-F687-4F45-9708-019B960494DF}">
            <a14:hiddenLine xmlns:a14="http://schemas.microsoft.com/office/drawing/2010/main" w="12700">
              <a:solidFill>
                <a:schemeClr val="tx1"/>
              </a:solidFill>
              <a:miter lim="800000"/>
              <a:headEnd/>
              <a:tailEnd/>
            </a14:hiddenLine>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buClrTx/>
            <a:buSzTx/>
            <a:buFontTx/>
            <a:buNone/>
          </a:pPr>
          <a:r>
            <a:rPr lang="en-US" sz="1400" i="1"/>
            <a:t>NOTE: X-Bar S is appropriate</a:t>
          </a:r>
        </a:p>
        <a:p>
          <a:pPr>
            <a:buClrTx/>
            <a:buSzTx/>
            <a:buFontTx/>
            <a:buNone/>
          </a:pPr>
          <a:r>
            <a:rPr lang="en-US" sz="1400" i="1"/>
            <a:t> for subgroup sizes (n) of &gt; 10</a:t>
          </a:r>
          <a:endParaRPr lang="en-US" sz="3200" i="1"/>
        </a:p>
      </xdr:txBody>
    </xdr:sp>
    <xdr:clientData/>
  </xdr:twoCellAnchor>
  <xdr:twoCellAnchor>
    <xdr:from>
      <xdr:col>9</xdr:col>
      <xdr:colOff>218155</xdr:colOff>
      <xdr:row>5</xdr:row>
      <xdr:rowOff>168884</xdr:rowOff>
    </xdr:from>
    <xdr:to>
      <xdr:col>11</xdr:col>
      <xdr:colOff>171451</xdr:colOff>
      <xdr:row>5</xdr:row>
      <xdr:rowOff>171449</xdr:rowOff>
    </xdr:to>
    <xdr:sp macro="" textlink="">
      <xdr:nvSpPr>
        <xdr:cNvPr id="38" name="Line 46">
          <a:extLst>
            <a:ext uri="{FF2B5EF4-FFF2-40B4-BE49-F238E27FC236}">
              <a16:creationId xmlns:a16="http://schemas.microsoft.com/office/drawing/2014/main" id="{00000000-0008-0000-1900-000026000000}"/>
            </a:ext>
          </a:extLst>
        </xdr:cNvPr>
        <xdr:cNvSpPr>
          <a:spLocks noChangeShapeType="1"/>
        </xdr:cNvSpPr>
      </xdr:nvSpPr>
      <xdr:spPr bwMode="auto">
        <a:xfrm>
          <a:off x="5704555" y="1130909"/>
          <a:ext cx="1172496" cy="2565"/>
        </a:xfrm>
        <a:prstGeom prst="line">
          <a:avLst/>
        </a:prstGeom>
        <a:noFill/>
        <a:ln w="12700">
          <a:solidFill>
            <a:schemeClr val="tx1"/>
          </a:solidFill>
          <a:round/>
          <a:headEnd/>
          <a:tailEnd type="triangle"/>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sz="3600"/>
        </a:p>
      </xdr:txBody>
    </xdr:sp>
    <xdr:clientData/>
  </xdr:twoCellAnchor>
  <xdr:twoCellAnchor>
    <xdr:from>
      <xdr:col>4</xdr:col>
      <xdr:colOff>523875</xdr:colOff>
      <xdr:row>5</xdr:row>
      <xdr:rowOff>171449</xdr:rowOff>
    </xdr:from>
    <xdr:to>
      <xdr:col>6</xdr:col>
      <xdr:colOff>361949</xdr:colOff>
      <xdr:row>5</xdr:row>
      <xdr:rowOff>180974</xdr:rowOff>
    </xdr:to>
    <xdr:sp macro="" textlink="">
      <xdr:nvSpPr>
        <xdr:cNvPr id="39" name="Line 47">
          <a:extLst>
            <a:ext uri="{FF2B5EF4-FFF2-40B4-BE49-F238E27FC236}">
              <a16:creationId xmlns:a16="http://schemas.microsoft.com/office/drawing/2014/main" id="{00000000-0008-0000-1900-000027000000}"/>
            </a:ext>
          </a:extLst>
        </xdr:cNvPr>
        <xdr:cNvSpPr>
          <a:spLocks noChangeShapeType="1"/>
        </xdr:cNvSpPr>
      </xdr:nvSpPr>
      <xdr:spPr bwMode="auto">
        <a:xfrm flipH="1">
          <a:off x="2962275" y="1133474"/>
          <a:ext cx="1057274" cy="9525"/>
        </a:xfrm>
        <a:prstGeom prst="line">
          <a:avLst/>
        </a:prstGeom>
        <a:noFill/>
        <a:ln w="12700">
          <a:solidFill>
            <a:schemeClr val="tx1"/>
          </a:solidFill>
          <a:round/>
          <a:headEnd/>
          <a:tailEnd type="triangle"/>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wrap="square" anchor="ct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sz="2800"/>
        </a:p>
      </xdr:txBody>
    </xdr:sp>
    <xdr:clientData/>
  </xdr:twoCellAnchor>
  <xdr:twoCellAnchor>
    <xdr:from>
      <xdr:col>6</xdr:col>
      <xdr:colOff>568609</xdr:colOff>
      <xdr:row>4</xdr:row>
      <xdr:rowOff>107589</xdr:rowOff>
    </xdr:from>
    <xdr:to>
      <xdr:col>8</xdr:col>
      <xdr:colOff>554875</xdr:colOff>
      <xdr:row>7</xdr:row>
      <xdr:rowOff>59309</xdr:rowOff>
    </xdr:to>
    <xdr:sp macro="" textlink="">
      <xdr:nvSpPr>
        <xdr:cNvPr id="40" name="TextBox 3">
          <a:extLst>
            <a:ext uri="{FF2B5EF4-FFF2-40B4-BE49-F238E27FC236}">
              <a16:creationId xmlns:a16="http://schemas.microsoft.com/office/drawing/2014/main" id="{00000000-0008-0000-1900-000028000000}"/>
            </a:ext>
          </a:extLst>
        </xdr:cNvPr>
        <xdr:cNvSpPr txBox="1"/>
      </xdr:nvSpPr>
      <xdr:spPr>
        <a:xfrm>
          <a:off x="4226209" y="869589"/>
          <a:ext cx="1205466" cy="523220"/>
        </a:xfrm>
        <a:prstGeom prst="rect">
          <a:avLst/>
        </a:prstGeom>
        <a:noFill/>
      </xdr:spPr>
      <xdr:txBody>
        <a:bodyPr wrap="square"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US" sz="1400"/>
            <a:t>What type of  data ?</a:t>
          </a:r>
        </a:p>
      </xdr:txBody>
    </xdr:sp>
    <xdr:clientData/>
  </xdr:twoCellAnchor>
  <xdr:twoCellAnchor>
    <xdr:from>
      <xdr:col>3</xdr:col>
      <xdr:colOff>70841</xdr:colOff>
      <xdr:row>5</xdr:row>
      <xdr:rowOff>33065</xdr:rowOff>
    </xdr:from>
    <xdr:to>
      <xdr:col>5</xdr:col>
      <xdr:colOff>547788</xdr:colOff>
      <xdr:row>11</xdr:row>
      <xdr:rowOff>9466</xdr:rowOff>
    </xdr:to>
    <xdr:sp macro="" textlink="">
      <xdr:nvSpPr>
        <xdr:cNvPr id="41" name="Diamond 40">
          <a:extLst>
            <a:ext uri="{FF2B5EF4-FFF2-40B4-BE49-F238E27FC236}">
              <a16:creationId xmlns:a16="http://schemas.microsoft.com/office/drawing/2014/main" id="{00000000-0008-0000-1900-000029000000}"/>
            </a:ext>
          </a:extLst>
        </xdr:cNvPr>
        <xdr:cNvSpPr/>
      </xdr:nvSpPr>
      <xdr:spPr>
        <a:xfrm>
          <a:off x="1899641" y="985565"/>
          <a:ext cx="1696147" cy="1119401"/>
        </a:xfrm>
        <a:prstGeom prst="diamond">
          <a:avLst/>
        </a:prstGeom>
        <a:ln>
          <a:solidFill>
            <a:srgbClr val="00528E"/>
          </a:solidFill>
        </a:ln>
      </xdr:spPr>
      <xdr:style>
        <a:lnRef idx="2">
          <a:schemeClr val="accent4"/>
        </a:lnRef>
        <a:fillRef idx="1">
          <a:schemeClr val="lt1"/>
        </a:fillRef>
        <a:effectRef idx="0">
          <a:schemeClr val="accent4"/>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a:endParaRPr lang="en-GB" sz="2800"/>
        </a:p>
      </xdr:txBody>
    </xdr:sp>
    <xdr:clientData/>
  </xdr:twoCellAnchor>
  <xdr:twoCellAnchor>
    <xdr:from>
      <xdr:col>3</xdr:col>
      <xdr:colOff>380309</xdr:colOff>
      <xdr:row>6</xdr:row>
      <xdr:rowOff>90586</xdr:rowOff>
    </xdr:from>
    <xdr:to>
      <xdr:col>5</xdr:col>
      <xdr:colOff>238320</xdr:colOff>
      <xdr:row>10</xdr:row>
      <xdr:rowOff>98027</xdr:rowOff>
    </xdr:to>
    <xdr:sp macro="" textlink="">
      <xdr:nvSpPr>
        <xdr:cNvPr id="42" name="TextBox 50">
          <a:extLst>
            <a:ext uri="{FF2B5EF4-FFF2-40B4-BE49-F238E27FC236}">
              <a16:creationId xmlns:a16="http://schemas.microsoft.com/office/drawing/2014/main" id="{00000000-0008-0000-1900-00002A000000}"/>
            </a:ext>
          </a:extLst>
        </xdr:cNvPr>
        <xdr:cNvSpPr txBox="1"/>
      </xdr:nvSpPr>
      <xdr:spPr>
        <a:xfrm>
          <a:off x="2209109" y="1233586"/>
          <a:ext cx="1077211" cy="769441"/>
        </a:xfrm>
        <a:prstGeom prst="rect">
          <a:avLst/>
        </a:prstGeom>
        <a:noFill/>
      </xdr:spPr>
      <xdr:txBody>
        <a:bodyPr wrap="square"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ClrTx/>
            <a:buSzTx/>
            <a:buFontTx/>
            <a:buNone/>
          </a:pPr>
          <a:r>
            <a:rPr lang="en-US" sz="1100"/>
            <a:t>Data collected in groups or individuals?</a:t>
          </a:r>
        </a:p>
      </xdr:txBody>
    </xdr:sp>
    <xdr:clientData/>
  </xdr:twoCellAnchor>
  <xdr:twoCellAnchor>
    <xdr:from>
      <xdr:col>10</xdr:col>
      <xdr:colOff>178771</xdr:colOff>
      <xdr:row>5</xdr:row>
      <xdr:rowOff>33065</xdr:rowOff>
    </xdr:from>
    <xdr:to>
      <xdr:col>13</xdr:col>
      <xdr:colOff>46118</xdr:colOff>
      <xdr:row>11</xdr:row>
      <xdr:rowOff>9466</xdr:rowOff>
    </xdr:to>
    <xdr:sp macro="" textlink="">
      <xdr:nvSpPr>
        <xdr:cNvPr id="43" name="Diamond 42">
          <a:extLst>
            <a:ext uri="{FF2B5EF4-FFF2-40B4-BE49-F238E27FC236}">
              <a16:creationId xmlns:a16="http://schemas.microsoft.com/office/drawing/2014/main" id="{00000000-0008-0000-1900-00002B000000}"/>
            </a:ext>
          </a:extLst>
        </xdr:cNvPr>
        <xdr:cNvSpPr/>
      </xdr:nvSpPr>
      <xdr:spPr>
        <a:xfrm>
          <a:off x="6274771" y="985565"/>
          <a:ext cx="1696147" cy="1119401"/>
        </a:xfrm>
        <a:prstGeom prst="diamond">
          <a:avLst/>
        </a:prstGeom>
        <a:ln>
          <a:solidFill>
            <a:srgbClr val="00528E"/>
          </a:solidFill>
        </a:ln>
      </xdr:spPr>
      <xdr:style>
        <a:lnRef idx="2">
          <a:schemeClr val="accent4"/>
        </a:lnRef>
        <a:fillRef idx="1">
          <a:schemeClr val="lt1"/>
        </a:fillRef>
        <a:effectRef idx="0">
          <a:schemeClr val="accent4"/>
        </a:effectRef>
        <a:fontRef idx="minor">
          <a:schemeClr val="dk1"/>
        </a:fontRef>
      </xdr:style>
      <xdr:txBody>
        <a:bodyPr wrap="square" rtlCol="0"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a:endParaRPr lang="en-GB" sz="2800"/>
        </a:p>
      </xdr:txBody>
    </xdr:sp>
    <xdr:clientData/>
  </xdr:twoCellAnchor>
  <xdr:twoCellAnchor>
    <xdr:from>
      <xdr:col>10</xdr:col>
      <xdr:colOff>443242</xdr:colOff>
      <xdr:row>6</xdr:row>
      <xdr:rowOff>90586</xdr:rowOff>
    </xdr:from>
    <xdr:to>
      <xdr:col>12</xdr:col>
      <xdr:colOff>417089</xdr:colOff>
      <xdr:row>10</xdr:row>
      <xdr:rowOff>98027</xdr:rowOff>
    </xdr:to>
    <xdr:sp macro="" textlink="">
      <xdr:nvSpPr>
        <xdr:cNvPr id="44" name="TextBox 54">
          <a:extLst>
            <a:ext uri="{FF2B5EF4-FFF2-40B4-BE49-F238E27FC236}">
              <a16:creationId xmlns:a16="http://schemas.microsoft.com/office/drawing/2014/main" id="{00000000-0008-0000-1900-00002C000000}"/>
            </a:ext>
          </a:extLst>
        </xdr:cNvPr>
        <xdr:cNvSpPr txBox="1"/>
      </xdr:nvSpPr>
      <xdr:spPr>
        <a:xfrm>
          <a:off x="6539242" y="1233586"/>
          <a:ext cx="1193047" cy="769441"/>
        </a:xfrm>
        <a:prstGeom prst="rect">
          <a:avLst/>
        </a:prstGeom>
        <a:noFill/>
      </xdr:spPr>
      <xdr:txBody>
        <a:bodyPr wrap="square"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ClrTx/>
            <a:buSzTx/>
            <a:buFontTx/>
            <a:buNone/>
          </a:pPr>
          <a:r>
            <a:rPr lang="en-US" sz="1100"/>
            <a:t>Counting specific defects or defective items  ?</a:t>
          </a:r>
        </a:p>
      </xdr:txBody>
    </xdr:sp>
    <xdr:clientData/>
  </xdr:twoCellAnchor>
  <xdr:twoCellAnchor>
    <xdr:from>
      <xdr:col>8</xdr:col>
      <xdr:colOff>258858</xdr:colOff>
      <xdr:row>22</xdr:row>
      <xdr:rowOff>17562</xdr:rowOff>
    </xdr:from>
    <xdr:to>
      <xdr:col>10</xdr:col>
      <xdr:colOff>566107</xdr:colOff>
      <xdr:row>25</xdr:row>
      <xdr:rowOff>184726</xdr:rowOff>
    </xdr:to>
    <xdr:sp macro="" textlink="">
      <xdr:nvSpPr>
        <xdr:cNvPr id="45" name="TextBox 57">
          <a:extLst>
            <a:ext uri="{FF2B5EF4-FFF2-40B4-BE49-F238E27FC236}">
              <a16:creationId xmlns:a16="http://schemas.microsoft.com/office/drawing/2014/main" id="{00000000-0008-0000-1900-00002D000000}"/>
            </a:ext>
          </a:extLst>
        </xdr:cNvPr>
        <xdr:cNvSpPr txBox="1"/>
      </xdr:nvSpPr>
      <xdr:spPr>
        <a:xfrm>
          <a:off x="5135658" y="4208562"/>
          <a:ext cx="1526449" cy="738664"/>
        </a:xfrm>
        <a:prstGeom prst="rect">
          <a:avLst/>
        </a:prstGeom>
        <a:noFill/>
      </xdr:spPr>
      <xdr:txBody>
        <a:bodyPr wrap="square"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ClrTx/>
            <a:buSzTx/>
            <a:buFontTx/>
            <a:buNone/>
          </a:pPr>
          <a:r>
            <a:rPr lang="en-US" sz="1050"/>
            <a:t>Area of</a:t>
          </a:r>
        </a:p>
        <a:p>
          <a:pPr algn="ctr">
            <a:spcBef>
              <a:spcPct val="0"/>
            </a:spcBef>
            <a:buClrTx/>
            <a:buSzTx/>
            <a:buFontTx/>
            <a:buNone/>
          </a:pPr>
          <a:r>
            <a:rPr lang="en-US" sz="1050"/>
            <a:t>opportunity constant </a:t>
          </a:r>
        </a:p>
        <a:p>
          <a:pPr algn="ctr">
            <a:spcBef>
              <a:spcPct val="0"/>
            </a:spcBef>
            <a:buClrTx/>
            <a:buSzTx/>
            <a:buFontTx/>
            <a:buNone/>
          </a:pPr>
          <a:r>
            <a:rPr lang="en-US" sz="1050"/>
            <a:t>In each sample</a:t>
          </a:r>
        </a:p>
        <a:p>
          <a:pPr algn="ctr">
            <a:spcBef>
              <a:spcPct val="0"/>
            </a:spcBef>
            <a:buClrTx/>
            <a:buSzTx/>
            <a:buFontTx/>
            <a:buNone/>
          </a:pPr>
          <a:r>
            <a:rPr lang="en-US" sz="1050"/>
            <a:t>size ? </a:t>
          </a:r>
        </a:p>
      </xdr:txBody>
    </xdr:sp>
    <xdr:clientData/>
  </xdr:twoCellAnchor>
  <xdr:twoCellAnchor>
    <xdr:from>
      <xdr:col>12</xdr:col>
      <xdr:colOff>170965</xdr:colOff>
      <xdr:row>21</xdr:row>
      <xdr:rowOff>94288</xdr:rowOff>
    </xdr:from>
    <xdr:to>
      <xdr:col>14</xdr:col>
      <xdr:colOff>513896</xdr:colOff>
      <xdr:row>26</xdr:row>
      <xdr:rowOff>97010</xdr:rowOff>
    </xdr:to>
    <xdr:sp macro="" textlink="">
      <xdr:nvSpPr>
        <xdr:cNvPr id="46" name="AutoShape 26">
          <a:extLst>
            <a:ext uri="{FF2B5EF4-FFF2-40B4-BE49-F238E27FC236}">
              <a16:creationId xmlns:a16="http://schemas.microsoft.com/office/drawing/2014/main" id="{00000000-0008-0000-1900-00002E000000}"/>
            </a:ext>
          </a:extLst>
        </xdr:cNvPr>
        <xdr:cNvSpPr>
          <a:spLocks noChangeArrowheads="1"/>
        </xdr:cNvSpPr>
      </xdr:nvSpPr>
      <xdr:spPr bwMode="auto">
        <a:xfrm>
          <a:off x="7486165" y="4094788"/>
          <a:ext cx="1562131" cy="955222"/>
        </a:xfrm>
        <a:prstGeom prst="flowChartDecision">
          <a:avLst/>
        </a:prstGeom>
        <a:ln>
          <a:solidFill>
            <a:srgbClr val="00528E"/>
          </a:solidFill>
          <a:headEnd/>
          <a:tailEnd/>
        </a:ln>
      </xdr:spPr>
      <xdr:style>
        <a:lnRef idx="2">
          <a:schemeClr val="accent4"/>
        </a:lnRef>
        <a:fillRef idx="1">
          <a:schemeClr val="lt1"/>
        </a:fillRef>
        <a:effectRef idx="0">
          <a:schemeClr val="accent4"/>
        </a:effectRef>
        <a:fontRef idx="minor">
          <a:schemeClr val="dk1"/>
        </a:fontRef>
      </xdr:style>
      <xdr:txBody>
        <a:bodyPr wrap="square" anchor="ct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a:spcBef>
              <a:spcPct val="0"/>
            </a:spcBef>
            <a:buClrTx/>
            <a:buSzTx/>
            <a:buFontTx/>
            <a:buNone/>
          </a:pPr>
          <a:endParaRPr lang="en-US" sz="1000"/>
        </a:p>
      </xdr:txBody>
    </xdr:sp>
    <xdr:clientData/>
  </xdr:twoCellAnchor>
  <xdr:twoCellAnchor>
    <xdr:from>
      <xdr:col>12</xdr:col>
      <xdr:colOff>399482</xdr:colOff>
      <xdr:row>22</xdr:row>
      <xdr:rowOff>138931</xdr:rowOff>
    </xdr:from>
    <xdr:to>
      <xdr:col>14</xdr:col>
      <xdr:colOff>394077</xdr:colOff>
      <xdr:row>25</xdr:row>
      <xdr:rowOff>29096</xdr:rowOff>
    </xdr:to>
    <xdr:sp macro="" textlink="">
      <xdr:nvSpPr>
        <xdr:cNvPr id="47" name="TextBox 59">
          <a:extLst>
            <a:ext uri="{FF2B5EF4-FFF2-40B4-BE49-F238E27FC236}">
              <a16:creationId xmlns:a16="http://schemas.microsoft.com/office/drawing/2014/main" id="{00000000-0008-0000-1900-00002F000000}"/>
            </a:ext>
          </a:extLst>
        </xdr:cNvPr>
        <xdr:cNvSpPr txBox="1"/>
      </xdr:nvSpPr>
      <xdr:spPr>
        <a:xfrm>
          <a:off x="7714682" y="4329931"/>
          <a:ext cx="1213795" cy="461665"/>
        </a:xfrm>
        <a:prstGeom prst="rect">
          <a:avLst/>
        </a:prstGeom>
        <a:noFill/>
      </xdr:spPr>
      <xdr:txBody>
        <a:bodyPr wrap="square"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spcBef>
              <a:spcPct val="0"/>
            </a:spcBef>
            <a:buClrTx/>
            <a:buSzTx/>
            <a:buFontTx/>
            <a:buNone/>
          </a:pPr>
          <a:r>
            <a:rPr lang="en-US" sz="1200"/>
            <a:t>Constant</a:t>
          </a:r>
        </a:p>
        <a:p>
          <a:pPr algn="ctr">
            <a:spcBef>
              <a:spcPct val="0"/>
            </a:spcBef>
            <a:buClrTx/>
            <a:buSzTx/>
            <a:buFontTx/>
            <a:buNone/>
          </a:pPr>
          <a:r>
            <a:rPr lang="en-US" sz="1200"/>
            <a:t>sample size  ? </a:t>
          </a:r>
        </a:p>
      </xdr:txBody>
    </xdr:sp>
    <xdr:clientData/>
  </xdr:twoCellAnchor>
  <xdr:twoCellAnchor>
    <xdr:from>
      <xdr:col>9</xdr:col>
      <xdr:colOff>169733</xdr:colOff>
      <xdr:row>13</xdr:row>
      <xdr:rowOff>91968</xdr:rowOff>
    </xdr:from>
    <xdr:to>
      <xdr:col>11</xdr:col>
      <xdr:colOff>187807</xdr:colOff>
      <xdr:row>15</xdr:row>
      <xdr:rowOff>111078</xdr:rowOff>
    </xdr:to>
    <xdr:sp macro="" textlink="">
      <xdr:nvSpPr>
        <xdr:cNvPr id="48" name="TextBox 60">
          <a:extLst>
            <a:ext uri="{FF2B5EF4-FFF2-40B4-BE49-F238E27FC236}">
              <a16:creationId xmlns:a16="http://schemas.microsoft.com/office/drawing/2014/main" id="{00000000-0008-0000-1900-000030000000}"/>
            </a:ext>
          </a:extLst>
        </xdr:cNvPr>
        <xdr:cNvSpPr txBox="1"/>
      </xdr:nvSpPr>
      <xdr:spPr>
        <a:xfrm>
          <a:off x="5656133" y="2568468"/>
          <a:ext cx="1237274" cy="400110"/>
        </a:xfrm>
        <a:prstGeom prst="rect">
          <a:avLst/>
        </a:prstGeom>
      </xdr:spPr>
      <xdr:style>
        <a:lnRef idx="1">
          <a:schemeClr val="dk1"/>
        </a:lnRef>
        <a:fillRef idx="2">
          <a:schemeClr val="dk1"/>
        </a:fillRef>
        <a:effectRef idx="1">
          <a:schemeClr val="dk1"/>
        </a:effectRef>
        <a:fontRef idx="minor">
          <a:schemeClr val="dk1"/>
        </a:fontRef>
      </xdr:style>
      <xdr:txBody>
        <a:bodyPr wrap="square" rtlCol="0">
          <a:spAutoFit/>
        </a:bodyP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a:spcBef>
              <a:spcPct val="0"/>
            </a:spcBef>
            <a:buClrTx/>
            <a:buSzTx/>
            <a:buFontTx/>
            <a:buNone/>
          </a:pPr>
          <a:r>
            <a:rPr lang="en-US" sz="1000">
              <a:solidFill>
                <a:schemeClr val="bg1"/>
              </a:solidFill>
            </a:rPr>
            <a:t>Is the probability of a defect low?</a:t>
          </a:r>
        </a:p>
      </xdr:txBody>
    </xdr:sp>
    <xdr:clientData/>
  </xdr:twoCellAnchor>
  <xdr:twoCellAnchor>
    <xdr:from>
      <xdr:col>12</xdr:col>
      <xdr:colOff>86911</xdr:colOff>
      <xdr:row>13</xdr:row>
      <xdr:rowOff>91968</xdr:rowOff>
    </xdr:from>
    <xdr:to>
      <xdr:col>14</xdr:col>
      <xdr:colOff>104985</xdr:colOff>
      <xdr:row>15</xdr:row>
      <xdr:rowOff>111078</xdr:rowOff>
    </xdr:to>
    <xdr:sp macro="" textlink="">
      <xdr:nvSpPr>
        <xdr:cNvPr id="49" name="TextBox 61">
          <a:extLst>
            <a:ext uri="{FF2B5EF4-FFF2-40B4-BE49-F238E27FC236}">
              <a16:creationId xmlns:a16="http://schemas.microsoft.com/office/drawing/2014/main" id="{00000000-0008-0000-1900-000031000000}"/>
            </a:ext>
          </a:extLst>
        </xdr:cNvPr>
        <xdr:cNvSpPr txBox="1"/>
      </xdr:nvSpPr>
      <xdr:spPr>
        <a:xfrm>
          <a:off x="7402111" y="2568468"/>
          <a:ext cx="1237274" cy="400110"/>
        </a:xfrm>
        <a:prstGeom prst="rect">
          <a:avLst/>
        </a:prstGeom>
      </xdr:spPr>
      <xdr:style>
        <a:lnRef idx="1">
          <a:schemeClr val="dk1"/>
        </a:lnRef>
        <a:fillRef idx="2">
          <a:schemeClr val="dk1"/>
        </a:fillRef>
        <a:effectRef idx="1">
          <a:schemeClr val="dk1"/>
        </a:effectRef>
        <a:fontRef idx="minor">
          <a:schemeClr val="dk1"/>
        </a:fontRef>
      </xdr:style>
      <xdr:txBody>
        <a:bodyPr wrap="square" rtlCol="0">
          <a:spAutoFit/>
        </a:bodyPr>
        <a:lstStyle>
          <a:defPPr>
            <a:defRPr lang="en-US"/>
          </a:defPPr>
          <a:lvl1pPr marL="0" algn="l" defTabSz="914400" rtl="0" eaLnBrk="1" latinLnBrk="0" hangingPunct="1">
            <a:defRPr sz="1800" kern="1200">
              <a:solidFill>
                <a:schemeClr val="dk1"/>
              </a:solidFill>
              <a:latin typeface="+mn-lt"/>
              <a:ea typeface="+mn-ea"/>
              <a:cs typeface="+mn-cs"/>
            </a:defRPr>
          </a:lvl1pPr>
          <a:lvl2pPr marL="457200" algn="l" defTabSz="914400" rtl="0" eaLnBrk="1" latinLnBrk="0" hangingPunct="1">
            <a:defRPr sz="1800" kern="1200">
              <a:solidFill>
                <a:schemeClr val="dk1"/>
              </a:solidFill>
              <a:latin typeface="+mn-lt"/>
              <a:ea typeface="+mn-ea"/>
              <a:cs typeface="+mn-cs"/>
            </a:defRPr>
          </a:lvl2pPr>
          <a:lvl3pPr marL="914400" algn="l" defTabSz="914400" rtl="0" eaLnBrk="1" latinLnBrk="0" hangingPunct="1">
            <a:defRPr sz="1800" kern="1200">
              <a:solidFill>
                <a:schemeClr val="dk1"/>
              </a:solidFill>
              <a:latin typeface="+mn-lt"/>
              <a:ea typeface="+mn-ea"/>
              <a:cs typeface="+mn-cs"/>
            </a:defRPr>
          </a:lvl3pPr>
          <a:lvl4pPr marL="1371600" algn="l" defTabSz="914400" rtl="0" eaLnBrk="1" latinLnBrk="0" hangingPunct="1">
            <a:defRPr sz="1800" kern="1200">
              <a:solidFill>
                <a:schemeClr val="dk1"/>
              </a:solidFill>
              <a:latin typeface="+mn-lt"/>
              <a:ea typeface="+mn-ea"/>
              <a:cs typeface="+mn-cs"/>
            </a:defRPr>
          </a:lvl4pPr>
          <a:lvl5pPr marL="1828800" algn="l" defTabSz="914400" rtl="0" eaLnBrk="1" latinLnBrk="0" hangingPunct="1">
            <a:defRPr sz="1800" kern="1200">
              <a:solidFill>
                <a:schemeClr val="dk1"/>
              </a:solidFill>
              <a:latin typeface="+mn-lt"/>
              <a:ea typeface="+mn-ea"/>
              <a:cs typeface="+mn-cs"/>
            </a:defRPr>
          </a:lvl5pPr>
          <a:lvl6pPr marL="2286000" algn="l" defTabSz="914400" rtl="0" eaLnBrk="1" latinLnBrk="0" hangingPunct="1">
            <a:defRPr sz="1800" kern="1200">
              <a:solidFill>
                <a:schemeClr val="dk1"/>
              </a:solidFill>
              <a:latin typeface="+mn-lt"/>
              <a:ea typeface="+mn-ea"/>
              <a:cs typeface="+mn-cs"/>
            </a:defRPr>
          </a:lvl6pPr>
          <a:lvl7pPr marL="2743200" algn="l" defTabSz="914400" rtl="0" eaLnBrk="1" latinLnBrk="0" hangingPunct="1">
            <a:defRPr sz="1800" kern="1200">
              <a:solidFill>
                <a:schemeClr val="dk1"/>
              </a:solidFill>
              <a:latin typeface="+mn-lt"/>
              <a:ea typeface="+mn-ea"/>
              <a:cs typeface="+mn-cs"/>
            </a:defRPr>
          </a:lvl7pPr>
          <a:lvl8pPr marL="3200400" algn="l" defTabSz="914400" rtl="0" eaLnBrk="1" latinLnBrk="0" hangingPunct="1">
            <a:defRPr sz="1800" kern="1200">
              <a:solidFill>
                <a:schemeClr val="dk1"/>
              </a:solidFill>
              <a:latin typeface="+mn-lt"/>
              <a:ea typeface="+mn-ea"/>
              <a:cs typeface="+mn-cs"/>
            </a:defRPr>
          </a:lvl8pPr>
          <a:lvl9pPr marL="3657600" algn="l" defTabSz="914400" rtl="0" eaLnBrk="1" latinLnBrk="0" hangingPunct="1">
            <a:defRPr sz="1800" kern="1200">
              <a:solidFill>
                <a:schemeClr val="dk1"/>
              </a:solidFill>
              <a:latin typeface="+mn-lt"/>
              <a:ea typeface="+mn-ea"/>
              <a:cs typeface="+mn-cs"/>
            </a:defRPr>
          </a:lvl9pPr>
        </a:lstStyle>
        <a:p>
          <a:pPr algn="ctr">
            <a:spcBef>
              <a:spcPct val="0"/>
            </a:spcBef>
            <a:buClrTx/>
            <a:buSzTx/>
            <a:buFontTx/>
            <a:buNone/>
          </a:pPr>
          <a:r>
            <a:rPr lang="en-US" sz="1000">
              <a:solidFill>
                <a:schemeClr val="bg1"/>
              </a:solidFill>
            </a:rPr>
            <a:t>Do you know how many are good?</a:t>
          </a:r>
        </a:p>
      </xdr:txBody>
    </xdr:sp>
    <xdr:clientData/>
  </xdr:twoCellAnchor>
  <xdr:twoCellAnchor>
    <xdr:from>
      <xdr:col>8</xdr:col>
      <xdr:colOff>100806</xdr:colOff>
      <xdr:row>19</xdr:row>
      <xdr:rowOff>62359</xdr:rowOff>
    </xdr:from>
    <xdr:to>
      <xdr:col>10</xdr:col>
      <xdr:colOff>516990</xdr:colOff>
      <xdr:row>20</xdr:row>
      <xdr:rowOff>148858</xdr:rowOff>
    </xdr:to>
    <xdr:sp macro="" textlink="">
      <xdr:nvSpPr>
        <xdr:cNvPr id="50" name="Text Box 18">
          <a:extLst>
            <a:ext uri="{FF2B5EF4-FFF2-40B4-BE49-F238E27FC236}">
              <a16:creationId xmlns:a16="http://schemas.microsoft.com/office/drawing/2014/main" id="{00000000-0008-0000-1900-000032000000}"/>
            </a:ext>
          </a:extLst>
        </xdr:cNvPr>
        <xdr:cNvSpPr txBox="1">
          <a:spLocks noChangeArrowheads="1"/>
        </xdr:cNvSpPr>
      </xdr:nvSpPr>
      <xdr:spPr bwMode="auto">
        <a:xfrm>
          <a:off x="4977606" y="3681859"/>
          <a:ext cx="1635384" cy="276999"/>
        </a:xfrm>
        <a:prstGeom prst="rect">
          <a:avLst/>
        </a:prstGeom>
        <a:solidFill>
          <a:schemeClr val="bg1"/>
        </a:solidFill>
        <a:ln>
          <a:noFill/>
        </a:ln>
        <a:effec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ClrTx/>
            <a:buSzTx/>
            <a:buFontTx/>
            <a:buNone/>
          </a:pPr>
          <a:r>
            <a:rPr lang="en-US" sz="1200" b="1" i="1">
              <a:solidFill>
                <a:srgbClr val="64379B"/>
              </a:solidFill>
            </a:rPr>
            <a:t>Poisson distribution</a:t>
          </a:r>
        </a:p>
      </xdr:txBody>
    </xdr:sp>
    <xdr:clientData/>
  </xdr:twoCellAnchor>
  <xdr:twoCellAnchor>
    <xdr:from>
      <xdr:col>12</xdr:col>
      <xdr:colOff>602357</xdr:colOff>
      <xdr:row>19</xdr:row>
      <xdr:rowOff>62359</xdr:rowOff>
    </xdr:from>
    <xdr:to>
      <xdr:col>15</xdr:col>
      <xdr:colOff>490694</xdr:colOff>
      <xdr:row>20</xdr:row>
      <xdr:rowOff>148858</xdr:rowOff>
    </xdr:to>
    <xdr:sp macro="" textlink="">
      <xdr:nvSpPr>
        <xdr:cNvPr id="51" name="Text Box 19">
          <a:extLst>
            <a:ext uri="{FF2B5EF4-FFF2-40B4-BE49-F238E27FC236}">
              <a16:creationId xmlns:a16="http://schemas.microsoft.com/office/drawing/2014/main" id="{00000000-0008-0000-1900-000033000000}"/>
            </a:ext>
          </a:extLst>
        </xdr:cNvPr>
        <xdr:cNvSpPr txBox="1">
          <a:spLocks noChangeArrowheads="1"/>
        </xdr:cNvSpPr>
      </xdr:nvSpPr>
      <xdr:spPr bwMode="auto">
        <a:xfrm>
          <a:off x="7917557" y="3681859"/>
          <a:ext cx="1717137" cy="276999"/>
        </a:xfrm>
        <a:prstGeom prst="rect">
          <a:avLst/>
        </a:prstGeom>
        <a:solidFill>
          <a:schemeClr val="bg1"/>
        </a:solidFill>
        <a:ln>
          <a:noFill/>
        </a:ln>
        <a:effectLst/>
      </xdr:spPr>
      <xdr:txBody>
        <a:bodyPr wrap="square">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spcBef>
              <a:spcPct val="0"/>
            </a:spcBef>
            <a:buClrTx/>
            <a:buSzTx/>
            <a:buFontTx/>
            <a:buNone/>
          </a:pPr>
          <a:r>
            <a:rPr lang="en-US" sz="1200" b="1" i="1">
              <a:solidFill>
                <a:srgbClr val="64379B"/>
              </a:solidFill>
            </a:rPr>
            <a:t>Binomial distribution</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4</xdr:col>
      <xdr:colOff>210669</xdr:colOff>
      <xdr:row>26</xdr:row>
      <xdr:rowOff>17929</xdr:rowOff>
    </xdr:from>
    <xdr:to>
      <xdr:col>15</xdr:col>
      <xdr:colOff>665018</xdr:colOff>
      <xdr:row>55</xdr:row>
      <xdr:rowOff>0</xdr:rowOff>
    </xdr:to>
    <xdr:sp macro="" textlink="">
      <xdr:nvSpPr>
        <xdr:cNvPr id="2" name="TextBox 1">
          <a:extLst>
            <a:ext uri="{FF2B5EF4-FFF2-40B4-BE49-F238E27FC236}">
              <a16:creationId xmlns:a16="http://schemas.microsoft.com/office/drawing/2014/main" id="{00000000-0008-0000-1A00-000002000000}"/>
            </a:ext>
          </a:extLst>
        </xdr:cNvPr>
        <xdr:cNvSpPr txBox="1"/>
      </xdr:nvSpPr>
      <xdr:spPr>
        <a:xfrm>
          <a:off x="3923687" y="6501856"/>
          <a:ext cx="8379149" cy="6812362"/>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800">
              <a:solidFill>
                <a:schemeClr val="accent1"/>
              </a:solidFill>
              <a:latin typeface="+mn-lt"/>
              <a:ea typeface="+mn-ea"/>
              <a:cs typeface="+mn-cs"/>
            </a:rPr>
            <a:t>I&amp;mR</a:t>
          </a:r>
          <a:r>
            <a:rPr lang="en-GB" sz="1100" baseline="0">
              <a:solidFill>
                <a:schemeClr val="accent1"/>
              </a:solidFill>
              <a:latin typeface="+mn-lt"/>
              <a:ea typeface="+mn-ea"/>
              <a:cs typeface="+mn-cs"/>
            </a:rPr>
            <a:t>  </a:t>
          </a:r>
          <a:r>
            <a:rPr lang="en-GB" sz="1100" baseline="0">
              <a:solidFill>
                <a:schemeClr val="dk1"/>
              </a:solidFill>
              <a:latin typeface="+mn-lt"/>
              <a:ea typeface="+mn-ea"/>
              <a:cs typeface="+mn-cs"/>
            </a:rPr>
            <a:t>chart</a:t>
          </a:r>
          <a:r>
            <a:rPr lang="en-GB" sz="1100">
              <a:solidFill>
                <a:schemeClr val="dk1"/>
              </a:solidFill>
              <a:latin typeface="+mn-lt"/>
              <a:ea typeface="+mn-ea"/>
              <a:cs typeface="+mn-cs"/>
            </a:rPr>
            <a:t> is used to monitor individual</a:t>
          </a:r>
          <a:r>
            <a:rPr lang="en-GB" sz="1100" baseline="0">
              <a:solidFill>
                <a:schemeClr val="dk1"/>
              </a:solidFill>
              <a:latin typeface="+mn-lt"/>
              <a:ea typeface="+mn-ea"/>
              <a:cs typeface="+mn-cs"/>
            </a:rPr>
            <a:t> results over a time period.  It consists of two charts: the plotting of the individual measurements</a:t>
          </a:r>
          <a:r>
            <a:rPr lang="en-GB">
              <a:latin typeface="+mn-lt"/>
            </a:rPr>
            <a:t>, and mR stands for moving range).</a:t>
          </a:r>
        </a:p>
        <a:p>
          <a:endParaRPr lang="en-GB" sz="1100">
            <a:solidFill>
              <a:schemeClr val="dk1"/>
            </a:solidFill>
            <a:latin typeface="+mn-lt"/>
            <a:ea typeface="+mn-ea"/>
            <a:cs typeface="+mn-cs"/>
          </a:endParaRPr>
        </a:p>
        <a:p>
          <a:r>
            <a:rPr lang="en-GB" sz="1100" b="1" baseline="0">
              <a:latin typeface="+mn-lt"/>
            </a:rPr>
            <a:t>When to use.</a:t>
          </a:r>
        </a:p>
        <a:p>
          <a:r>
            <a:rPr lang="en-GB" sz="1100" b="0" baseline="0">
              <a:latin typeface="+mn-lt"/>
            </a:rPr>
            <a:t>1. Data is continuous</a:t>
          </a:r>
        </a:p>
        <a:p>
          <a:r>
            <a:rPr lang="en-GB" sz="1100" b="0" baseline="0">
              <a:latin typeface="+mn-lt"/>
            </a:rPr>
            <a:t>2. Data is normally distributed</a:t>
          </a:r>
        </a:p>
        <a:p>
          <a:r>
            <a:rPr lang="en-GB" sz="1100" b="0" baseline="0">
              <a:latin typeface="+mn-lt"/>
            </a:rPr>
            <a:t>3. There is no subgrouping</a:t>
          </a:r>
          <a:endParaRPr lang="en-GB" sz="1100" b="0" baseline="0">
            <a:latin typeface="+mn-lt"/>
            <a:cs typeface="+mn-cs"/>
          </a:endParaRPr>
        </a:p>
        <a:p>
          <a:endParaRPr lang="en-GB" sz="1100" baseline="0">
            <a:latin typeface="+mn-lt"/>
          </a:endParaRPr>
        </a:p>
        <a:p>
          <a:r>
            <a:rPr lang="en-GB" sz="1100" b="1" baseline="0">
              <a:latin typeface="+mn-lt"/>
            </a:rPr>
            <a:t>How to use:  </a:t>
          </a:r>
          <a:r>
            <a:rPr lang="en-GB" sz="1100" b="0" baseline="0">
              <a:latin typeface="+mn-lt"/>
            </a:rPr>
            <a:t>Follow the steps inserts.  The worksheet is already set for up-to 500 data points.</a:t>
          </a:r>
        </a:p>
        <a:p>
          <a:r>
            <a:rPr lang="en-GB" sz="1100" b="1" baseline="0">
              <a:solidFill>
                <a:srgbClr val="FF0000"/>
              </a:solidFill>
              <a:latin typeface="+mn-lt"/>
            </a:rPr>
            <a:t>This is a basic chart, it will does not include all the tests: </a:t>
          </a:r>
          <a:r>
            <a:rPr lang="en-GB" sz="1100" b="0" i="0">
              <a:solidFill>
                <a:srgbClr val="FF0000"/>
              </a:solidFill>
              <a:effectLst/>
              <a:latin typeface="+mn-lt"/>
              <a:ea typeface="+mn-ea"/>
              <a:cs typeface="+mn-cs"/>
            </a:rPr>
            <a:t>The first 3 tests show as red markers</a:t>
          </a:r>
        </a:p>
        <a:p>
          <a:pPr rtl="0" fontAlgn="ctr"/>
          <a:r>
            <a:rPr lang="en-GB" sz="1100" b="0" i="0">
              <a:solidFill>
                <a:schemeClr val="dk1"/>
              </a:solidFill>
              <a:effectLst/>
              <a:latin typeface="+mn-lt"/>
              <a:ea typeface="+mn-ea"/>
              <a:cs typeface="+mn-cs"/>
            </a:rPr>
            <a:t>- A single point falls out of  (the 3 </a:t>
          </a:r>
          <a:r>
            <a:rPr lang="el-GR" sz="1100" b="0" i="0">
              <a:solidFill>
                <a:schemeClr val="dk1"/>
              </a:solidFill>
              <a:effectLst/>
              <a:latin typeface="+mn-lt"/>
              <a:ea typeface="+mn-ea"/>
              <a:cs typeface="+mn-cs"/>
            </a:rPr>
            <a:t>σ</a:t>
          </a:r>
          <a:r>
            <a:rPr lang="en-GB" sz="1100" b="0" i="0">
              <a:solidFill>
                <a:schemeClr val="dk1"/>
              </a:solidFill>
              <a:effectLst/>
              <a:latin typeface="+mn-lt"/>
              <a:ea typeface="+mn-ea"/>
              <a:cs typeface="+mn-cs"/>
            </a:rPr>
            <a:t>) control limits</a:t>
          </a:r>
        </a:p>
        <a:p>
          <a:pPr rtl="0" fontAlgn="ctr"/>
          <a:r>
            <a:rPr lang="en-GB" sz="1100" b="0" i="0">
              <a:solidFill>
                <a:schemeClr val="dk1"/>
              </a:solidFill>
              <a:effectLst/>
              <a:latin typeface="+mn-lt"/>
              <a:ea typeface="+mn-ea"/>
              <a:cs typeface="+mn-cs"/>
            </a:rPr>
            <a:t>- Two out of three successive points are on the same side of the centreline and farther than 2 </a:t>
          </a:r>
          <a:r>
            <a:rPr lang="el-GR" sz="1100" b="0" i="0">
              <a:solidFill>
                <a:schemeClr val="dk1"/>
              </a:solidFill>
              <a:effectLst/>
              <a:latin typeface="+mn-lt"/>
              <a:ea typeface="+mn-ea"/>
              <a:cs typeface="+mn-cs"/>
            </a:rPr>
            <a:t>σ</a:t>
          </a:r>
          <a:r>
            <a:rPr lang="en-GB" sz="1100" b="0" i="0">
              <a:solidFill>
                <a:schemeClr val="dk1"/>
              </a:solidFill>
              <a:effectLst/>
              <a:latin typeface="+mn-lt"/>
              <a:ea typeface="+mn-ea"/>
              <a:cs typeface="+mn-cs"/>
            </a:rPr>
            <a:t> from it. </a:t>
          </a:r>
        </a:p>
        <a:p>
          <a:pPr rtl="0" fontAlgn="ctr"/>
          <a:r>
            <a:rPr lang="en-GB" sz="1100" b="0" i="0">
              <a:solidFill>
                <a:schemeClr val="dk1"/>
              </a:solidFill>
              <a:effectLst/>
              <a:latin typeface="+mn-lt"/>
              <a:ea typeface="+mn-ea"/>
              <a:cs typeface="+mn-cs"/>
            </a:rPr>
            <a:t>- Four out of five successive points are on the same side of the centreline and farther than 1 </a:t>
          </a:r>
          <a:r>
            <a:rPr lang="el-GR" sz="1100" b="0" i="0">
              <a:solidFill>
                <a:schemeClr val="dk1"/>
              </a:solidFill>
              <a:effectLst/>
              <a:latin typeface="+mn-lt"/>
              <a:ea typeface="+mn-ea"/>
              <a:cs typeface="+mn-cs"/>
            </a:rPr>
            <a:t>σ</a:t>
          </a:r>
          <a:r>
            <a:rPr lang="en-GB" sz="1100" b="0" i="0">
              <a:solidFill>
                <a:schemeClr val="dk1"/>
              </a:solidFill>
              <a:effectLst/>
              <a:latin typeface="+mn-lt"/>
              <a:ea typeface="+mn-ea"/>
              <a:cs typeface="+mn-cs"/>
            </a:rPr>
            <a:t> from it. </a:t>
          </a:r>
        </a:p>
        <a:p>
          <a:endParaRPr lang="en-GB" baseline="0">
            <a:latin typeface="+mn-lt"/>
          </a:endParaRPr>
        </a:p>
        <a:p>
          <a:r>
            <a:rPr lang="en-GB" b="1" baseline="0">
              <a:latin typeface="+mn-lt"/>
            </a:rPr>
            <a:t>The Maths...</a:t>
          </a:r>
        </a:p>
        <a:p>
          <a:r>
            <a:rPr lang="en-GB" b="0">
              <a:latin typeface="+mn-lt"/>
            </a:rPr>
            <a:t>http://www.itl.nist.gov/div898/handbook/pmc/section3/pmc321.ht - &gt; </a:t>
          </a:r>
          <a:r>
            <a:rPr lang="en-GB">
              <a:latin typeface="+mn-lt"/>
              <a:hlinkClick xmlns:r="http://schemas.openxmlformats.org/officeDocument/2006/relationships" r:id=""/>
            </a:rPr>
            <a:t>What ITL Does | NIST</a:t>
          </a:r>
          <a:endParaRPr lang="en-GB">
            <a:latin typeface="+mn-lt"/>
          </a:endParaRPr>
        </a:p>
        <a:p>
          <a:endParaRPr lang="en-GB" b="0">
            <a:latin typeface="+mn-lt"/>
          </a:endParaRPr>
        </a:p>
        <a:p>
          <a:r>
            <a:rPr lang="en-GB" b="0">
              <a:latin typeface="+mn-lt"/>
            </a:rPr>
            <a:t>Rules</a:t>
          </a:r>
          <a:r>
            <a:rPr lang="en-GB" b="0" baseline="0">
              <a:latin typeface="+mn-lt"/>
            </a:rPr>
            <a:t> in Minitab 20</a:t>
          </a:r>
        </a:p>
        <a:p>
          <a:r>
            <a:rPr lang="en-GB" b="0" baseline="0">
              <a:latin typeface="+mn-lt"/>
            </a:rPr>
            <a:t> </a:t>
          </a:r>
        </a:p>
        <a:p>
          <a:endParaRPr lang="en-GB" b="0" baseline="0">
            <a:latin typeface="+mn-lt"/>
          </a:endParaRPr>
        </a:p>
        <a:p>
          <a:endParaRPr lang="en-GB" b="0" baseline="0">
            <a:latin typeface="+mn-lt"/>
          </a:endParaRPr>
        </a:p>
        <a:p>
          <a:endParaRPr lang="en-GB" b="0" baseline="0">
            <a:latin typeface="+mn-lt"/>
          </a:endParaRPr>
        </a:p>
        <a:p>
          <a:endParaRPr lang="en-GB" b="0" baseline="0">
            <a:latin typeface="+mn-lt"/>
          </a:endParaRPr>
        </a:p>
        <a:p>
          <a:endParaRPr lang="en-GB" b="0">
            <a:latin typeface="+mn-lt"/>
          </a:endParaRPr>
        </a:p>
      </xdr:txBody>
    </xdr:sp>
    <xdr:clientData/>
  </xdr:twoCellAnchor>
  <xdr:twoCellAnchor>
    <xdr:from>
      <xdr:col>0</xdr:col>
      <xdr:colOff>0</xdr:colOff>
      <xdr:row>0</xdr:row>
      <xdr:rowOff>592791</xdr:rowOff>
    </xdr:from>
    <xdr:to>
      <xdr:col>2</xdr:col>
      <xdr:colOff>249331</xdr:colOff>
      <xdr:row>22</xdr:row>
      <xdr:rowOff>63874</xdr:rowOff>
    </xdr:to>
    <xdr:sp macro="" textlink="">
      <xdr:nvSpPr>
        <xdr:cNvPr id="3" name="Rectangle 2">
          <a:extLst>
            <a:ext uri="{FF2B5EF4-FFF2-40B4-BE49-F238E27FC236}">
              <a16:creationId xmlns:a16="http://schemas.microsoft.com/office/drawing/2014/main" id="{00000000-0008-0000-1A00-000003000000}"/>
            </a:ext>
            <a:ext uri="{147F2762-F138-4A5C-976F-8EAC2B608ADB}">
              <a16:predDERef xmlns:a16="http://schemas.microsoft.com/office/drawing/2014/main" pred="{00000000-0008-0000-1A00-000002000000}"/>
            </a:ext>
          </a:extLst>
        </xdr:cNvPr>
        <xdr:cNvSpPr/>
      </xdr:nvSpPr>
      <xdr:spPr>
        <a:xfrm>
          <a:off x="0" y="592791"/>
          <a:ext cx="2459131" cy="4281208"/>
        </a:xfrm>
        <a:prstGeom prst="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rgbClr val="7030A0"/>
            </a:solidFill>
            <a:latin typeface="+mn-lt"/>
            <a:ea typeface="+mn-lt"/>
            <a:cs typeface="+mn-lt"/>
          </a:endParaRPr>
        </a:p>
      </xdr:txBody>
    </xdr:sp>
    <xdr:clientData/>
  </xdr:twoCellAnchor>
  <xdr:twoCellAnchor>
    <xdr:from>
      <xdr:col>1</xdr:col>
      <xdr:colOff>620807</xdr:colOff>
      <xdr:row>24</xdr:row>
      <xdr:rowOff>226919</xdr:rowOff>
    </xdr:from>
    <xdr:to>
      <xdr:col>2</xdr:col>
      <xdr:colOff>681317</xdr:colOff>
      <xdr:row>32</xdr:row>
      <xdr:rowOff>170329</xdr:rowOff>
    </xdr:to>
    <xdr:sp macro="" textlink="">
      <xdr:nvSpPr>
        <xdr:cNvPr id="4" name="Line Callout 1 (Accent Bar) 5">
          <a:extLst>
            <a:ext uri="{FF2B5EF4-FFF2-40B4-BE49-F238E27FC236}">
              <a16:creationId xmlns:a16="http://schemas.microsoft.com/office/drawing/2014/main" id="{00000000-0008-0000-1A00-000004000000}"/>
            </a:ext>
          </a:extLst>
        </xdr:cNvPr>
        <xdr:cNvSpPr/>
      </xdr:nvSpPr>
      <xdr:spPr>
        <a:xfrm>
          <a:off x="1813113" y="6179484"/>
          <a:ext cx="1136275" cy="1808069"/>
        </a:xfrm>
        <a:prstGeom prst="accentCallout1">
          <a:avLst>
            <a:gd name="adj1" fmla="val 18750"/>
            <a:gd name="adj2" fmla="val -8333"/>
            <a:gd name="adj3" fmla="val -77602"/>
            <a:gd name="adj4" fmla="val -50567"/>
          </a:avLst>
        </a:prstGeom>
        <a:solidFill>
          <a:schemeClr val="bg1"/>
        </a:solid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400" b="1">
              <a:solidFill>
                <a:srgbClr val="7030A0"/>
              </a:solidFill>
              <a:latin typeface="+mn-lt"/>
            </a:rPr>
            <a:t>Step 1</a:t>
          </a:r>
        </a:p>
        <a:p>
          <a:pPr algn="l"/>
          <a:r>
            <a:rPr lang="en-GB" sz="1100" b="0">
              <a:solidFill>
                <a:srgbClr val="7030A0"/>
              </a:solidFill>
              <a:latin typeface="+mn-lt"/>
            </a:rPr>
            <a:t>Enter your data in column B.</a:t>
          </a:r>
        </a:p>
        <a:p>
          <a:pPr algn="l"/>
          <a:r>
            <a:rPr lang="en-GB" sz="1100" b="0">
              <a:solidFill>
                <a:srgbClr val="7030A0"/>
              </a:solidFill>
              <a:latin typeface="+mn-lt"/>
            </a:rPr>
            <a:t>If you</a:t>
          </a:r>
          <a:r>
            <a:rPr lang="en-GB" sz="1100" b="0" baseline="0">
              <a:solidFill>
                <a:srgbClr val="7030A0"/>
              </a:solidFill>
              <a:latin typeface="+mn-lt"/>
            </a:rPr>
            <a:t> want to show your date/period, copy it in column A</a:t>
          </a:r>
          <a:endParaRPr lang="en-GB" sz="1100" b="0">
            <a:solidFill>
              <a:srgbClr val="7030A0"/>
            </a:solidFill>
            <a:latin typeface="+mn-lt"/>
          </a:endParaRPr>
        </a:p>
        <a:p>
          <a:pPr algn="l"/>
          <a:endParaRPr lang="en-GB" sz="1100" b="0">
            <a:solidFill>
              <a:srgbClr val="7030A0"/>
            </a:solidFill>
            <a:latin typeface="+mn-lt"/>
          </a:endParaRPr>
        </a:p>
        <a:p>
          <a:pPr algn="l"/>
          <a:endParaRPr lang="en-GB" sz="1100" b="0">
            <a:solidFill>
              <a:srgbClr val="7030A0"/>
            </a:solidFill>
            <a:latin typeface="+mn-lt"/>
          </a:endParaRPr>
        </a:p>
      </xdr:txBody>
    </xdr:sp>
    <xdr:clientData/>
  </xdr:twoCellAnchor>
  <xdr:twoCellAnchor>
    <xdr:from>
      <xdr:col>4</xdr:col>
      <xdr:colOff>124945</xdr:colOff>
      <xdr:row>0</xdr:row>
      <xdr:rowOff>382682</xdr:rowOff>
    </xdr:from>
    <xdr:to>
      <xdr:col>15</xdr:col>
      <xdr:colOff>77320</xdr:colOff>
      <xdr:row>13</xdr:row>
      <xdr:rowOff>110939</xdr:rowOff>
    </xdr:to>
    <xdr:graphicFrame macro="">
      <xdr:nvGraphicFramePr>
        <xdr:cNvPr id="7" name="Chart 6">
          <a:extLst>
            <a:ext uri="{FF2B5EF4-FFF2-40B4-BE49-F238E27FC236}">
              <a16:creationId xmlns:a16="http://schemas.microsoft.com/office/drawing/2014/main" id="{00000000-0008-0000-1A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137272</xdr:colOff>
      <xdr:row>13</xdr:row>
      <xdr:rowOff>148479</xdr:rowOff>
    </xdr:from>
    <xdr:to>
      <xdr:col>15</xdr:col>
      <xdr:colOff>89647</xdr:colOff>
      <xdr:row>23</xdr:row>
      <xdr:rowOff>161926</xdr:rowOff>
    </xdr:to>
    <xdr:graphicFrame macro="">
      <xdr:nvGraphicFramePr>
        <xdr:cNvPr id="8" name="Chart 7">
          <a:extLst>
            <a:ext uri="{FF2B5EF4-FFF2-40B4-BE49-F238E27FC236}">
              <a16:creationId xmlns:a16="http://schemas.microsoft.com/office/drawing/2014/main" id="{00000000-0008-0000-1A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585150</xdr:colOff>
      <xdr:row>6</xdr:row>
      <xdr:rowOff>34704</xdr:rowOff>
    </xdr:from>
    <xdr:to>
      <xdr:col>19</xdr:col>
      <xdr:colOff>466164</xdr:colOff>
      <xdr:row>17</xdr:row>
      <xdr:rowOff>31784</xdr:rowOff>
    </xdr:to>
    <xdr:sp macro="" textlink="">
      <xdr:nvSpPr>
        <xdr:cNvPr id="6" name="Line Callout 1 (Accent Bar) 7">
          <a:extLst>
            <a:ext uri="{FF2B5EF4-FFF2-40B4-BE49-F238E27FC236}">
              <a16:creationId xmlns:a16="http://schemas.microsoft.com/office/drawing/2014/main" id="{00000000-0008-0000-1A00-000006000000}"/>
            </a:ext>
          </a:extLst>
        </xdr:cNvPr>
        <xdr:cNvSpPr/>
      </xdr:nvSpPr>
      <xdr:spPr>
        <a:xfrm>
          <a:off x="12293056" y="1791786"/>
          <a:ext cx="2785579" cy="2560986"/>
        </a:xfrm>
        <a:prstGeom prst="accentCallout1">
          <a:avLst>
            <a:gd name="adj1" fmla="val 3386"/>
            <a:gd name="adj2" fmla="val -660"/>
            <a:gd name="adj3" fmla="val 15628"/>
            <a:gd name="adj4" fmla="val -40982"/>
          </a:avLst>
        </a:prstGeom>
        <a:solidFill>
          <a:schemeClr val="bg1"/>
        </a:solid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400" b="1">
              <a:solidFill>
                <a:srgbClr val="7030A0"/>
              </a:solidFill>
              <a:latin typeface="+mn-lt"/>
            </a:rPr>
            <a:t>Step 2</a:t>
          </a:r>
        </a:p>
        <a:p>
          <a:pPr algn="l"/>
          <a:r>
            <a:rPr lang="en-GB" sz="1100" b="0">
              <a:solidFill>
                <a:srgbClr val="7030A0"/>
              </a:solidFill>
              <a:latin typeface="+mn-lt"/>
            </a:rPr>
            <a:t>Edit the area for the data taken into account by</a:t>
          </a:r>
          <a:r>
            <a:rPr lang="en-GB" sz="1100" b="0" baseline="0">
              <a:solidFill>
                <a:srgbClr val="7030A0"/>
              </a:solidFill>
              <a:latin typeface="+mn-lt"/>
            </a:rPr>
            <a:t> the graphs as needed (you will need to do this for the individual and moving range sections).</a:t>
          </a:r>
        </a:p>
        <a:p>
          <a:pPr algn="l"/>
          <a:r>
            <a:rPr lang="en-GB" sz="1100" b="0" baseline="0">
              <a:solidFill>
                <a:srgbClr val="7030A0"/>
              </a:solidFill>
              <a:latin typeface="+mn-lt"/>
            </a:rPr>
            <a:t>- Note the last row with data (e.g. row 22)</a:t>
          </a:r>
        </a:p>
        <a:p>
          <a:pPr algn="l"/>
          <a:r>
            <a:rPr lang="en-GB" sz="1100" b="0" baseline="0">
              <a:solidFill>
                <a:srgbClr val="7030A0"/>
              </a:solidFill>
              <a:latin typeface="+mn-lt"/>
            </a:rPr>
            <a:t>- Right-click in the chart area</a:t>
          </a:r>
        </a:p>
        <a:p>
          <a:pPr algn="l"/>
          <a:r>
            <a:rPr lang="en-GB" sz="1100" b="0" baseline="0">
              <a:solidFill>
                <a:srgbClr val="7030A0"/>
              </a:solidFill>
              <a:latin typeface="+mn-lt"/>
            </a:rPr>
            <a:t>- Pick 'Select data'</a:t>
          </a:r>
        </a:p>
        <a:p>
          <a:pPr algn="l"/>
          <a:r>
            <a:rPr lang="en-GB" sz="1100" b="0" baseline="0">
              <a:solidFill>
                <a:srgbClr val="7030A0"/>
              </a:solidFill>
              <a:latin typeface="+mn-lt"/>
            </a:rPr>
            <a:t>- In the "chart data range" field, change the row number to correspond to your last row with data. </a:t>
          </a:r>
        </a:p>
      </xdr:txBody>
    </xdr:sp>
    <xdr:clientData/>
  </xdr:twoCellAnchor>
  <xdr:twoCellAnchor editAs="oneCell">
    <xdr:from>
      <xdr:col>6</xdr:col>
      <xdr:colOff>346805</xdr:colOff>
      <xdr:row>39</xdr:row>
      <xdr:rowOff>83587</xdr:rowOff>
    </xdr:from>
    <xdr:to>
      <xdr:col>12</xdr:col>
      <xdr:colOff>692805</xdr:colOff>
      <xdr:row>52</xdr:row>
      <xdr:rowOff>20831</xdr:rowOff>
    </xdr:to>
    <xdr:pic>
      <xdr:nvPicPr>
        <xdr:cNvPr id="5" name="Picture 4">
          <a:extLst>
            <a:ext uri="{FF2B5EF4-FFF2-40B4-BE49-F238E27FC236}">
              <a16:creationId xmlns:a16="http://schemas.microsoft.com/office/drawing/2014/main" id="{00000000-0008-0000-1A00-000005000000}"/>
            </a:ext>
          </a:extLst>
        </xdr:cNvPr>
        <xdr:cNvPicPr>
          <a:picLocks noChangeAspect="1"/>
        </xdr:cNvPicPr>
      </xdr:nvPicPr>
      <xdr:blipFill>
        <a:blip xmlns:r="http://schemas.openxmlformats.org/officeDocument/2006/relationships" r:embed="rId3"/>
        <a:stretch>
          <a:fillRect/>
        </a:stretch>
      </xdr:blipFill>
      <xdr:spPr>
        <a:xfrm>
          <a:off x="5500696" y="9629369"/>
          <a:ext cx="4673063" cy="3136313"/>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4</xdr:col>
      <xdr:colOff>33200</xdr:colOff>
      <xdr:row>0</xdr:row>
      <xdr:rowOff>106409</xdr:rowOff>
    </xdr:from>
    <xdr:to>
      <xdr:col>16</xdr:col>
      <xdr:colOff>195669</xdr:colOff>
      <xdr:row>12</xdr:row>
      <xdr:rowOff>156211</xdr:rowOff>
    </xdr:to>
    <xdr:graphicFrame macro="">
      <xdr:nvGraphicFramePr>
        <xdr:cNvPr id="2" name="Chart 1">
          <a:extLst>
            <a:ext uri="{FF2B5EF4-FFF2-40B4-BE49-F238E27FC236}">
              <a16:creationId xmlns:a16="http://schemas.microsoft.com/office/drawing/2014/main" id="{00000000-0008-0000-1B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265521</xdr:colOff>
      <xdr:row>25</xdr:row>
      <xdr:rowOff>70304</xdr:rowOff>
    </xdr:from>
    <xdr:to>
      <xdr:col>16</xdr:col>
      <xdr:colOff>372201</xdr:colOff>
      <xdr:row>44</xdr:row>
      <xdr:rowOff>88900</xdr:rowOff>
    </xdr:to>
    <xdr:sp macro="" textlink="">
      <xdr:nvSpPr>
        <xdr:cNvPr id="4" name="TextBox 3">
          <a:extLst>
            <a:ext uri="{FF2B5EF4-FFF2-40B4-BE49-F238E27FC236}">
              <a16:creationId xmlns:a16="http://schemas.microsoft.com/office/drawing/2014/main" id="{00000000-0008-0000-1B00-000004000000}"/>
            </a:ext>
          </a:extLst>
        </xdr:cNvPr>
        <xdr:cNvSpPr txBox="1"/>
      </xdr:nvSpPr>
      <xdr:spPr>
        <a:xfrm>
          <a:off x="4012021" y="5747204"/>
          <a:ext cx="8183880" cy="3879396"/>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200">
              <a:latin typeface="+mn-lt"/>
            </a:rPr>
            <a:t>Use a </a:t>
          </a:r>
          <a:r>
            <a:rPr lang="en-GB" sz="1200" b="1" baseline="0">
              <a:solidFill>
                <a:schemeClr val="accent1"/>
              </a:solidFill>
              <a:latin typeface="+mn-lt"/>
              <a:ea typeface="+mn-ea"/>
              <a:cs typeface="+mn-cs"/>
            </a:rPr>
            <a:t>P</a:t>
          </a:r>
          <a:r>
            <a:rPr lang="en-GB" sz="1200" baseline="0">
              <a:solidFill>
                <a:schemeClr val="dk1"/>
              </a:solidFill>
              <a:latin typeface="+mn-lt"/>
              <a:ea typeface="+mn-ea"/>
              <a:cs typeface="+mn-cs"/>
            </a:rPr>
            <a:t>roportion chart when:</a:t>
          </a:r>
          <a:endParaRPr lang="en-GB" sz="1200">
            <a:latin typeface="+mn-lt"/>
          </a:endParaRPr>
        </a:p>
        <a:p>
          <a:r>
            <a:rPr lang="en-GB" sz="1200">
              <a:latin typeface="+mn-lt"/>
            </a:rPr>
            <a:t>1. The measure a proportion? i.e. </a:t>
          </a:r>
          <a:r>
            <a:rPr lang="en-GB" sz="1200" baseline="0">
              <a:latin typeface="+mn-lt"/>
            </a:rPr>
            <a:t> defective units/total units ( e.g. orders late/ total orders)</a:t>
          </a:r>
        </a:p>
        <a:p>
          <a:r>
            <a:rPr lang="en-GB" sz="1200" baseline="0">
              <a:latin typeface="+mn-lt"/>
            </a:rPr>
            <a:t>2. Are there only two outcomes (pass or fail, yes or no, black or white etc.)</a:t>
          </a:r>
          <a:endParaRPr lang="en-GB" sz="1200">
            <a:latin typeface="+mn-lt"/>
          </a:endParaRPr>
        </a:p>
        <a:p>
          <a:r>
            <a:rPr lang="en-GB" sz="1200" b="1" baseline="0">
              <a:latin typeface="+mn-lt"/>
            </a:rPr>
            <a:t>Note this graph is not able to show the impact of the varying subgroup size, but should still be valid is the subgroup size are stable.</a:t>
          </a:r>
        </a:p>
        <a:p>
          <a:endParaRPr lang="en-GB" sz="1200" baseline="0">
            <a:latin typeface="+mn-lt"/>
          </a:endParaRPr>
        </a:p>
        <a:p>
          <a:r>
            <a:rPr lang="en-GB" sz="1200" b="1" baseline="0">
              <a:latin typeface="+mn-lt"/>
            </a:rPr>
            <a:t>Tips.</a:t>
          </a:r>
        </a:p>
        <a:p>
          <a:r>
            <a:rPr lang="en-GB" sz="1200" b="1">
              <a:latin typeface="+mn-lt"/>
            </a:rPr>
            <a:t>Collect as much data as possible before calculating control limits.</a:t>
          </a:r>
          <a:r>
            <a:rPr lang="en-GB" sz="1200">
              <a:latin typeface="+mn-lt"/>
            </a:rPr>
            <a:t>  The more subgroups you use in control limit calculations, the more reliable the analysis will be. Typically, 20 to 25 subgroups will be used in control limit calculations, </a:t>
          </a:r>
          <a:r>
            <a:rPr lang="en-GB" sz="1200" baseline="0">
              <a:latin typeface="+mn-lt"/>
            </a:rPr>
            <a:t> due to this you really want to increase the frequency of the data , weekly data  will require 6 months  data to produce control limits, hourly data takes a day!</a:t>
          </a:r>
        </a:p>
        <a:p>
          <a:r>
            <a:rPr lang="en-GB" sz="1200" baseline="0">
              <a:latin typeface="+mn-lt"/>
            </a:rPr>
            <a:t>This worksheet is set-up for up-to and including 100 data-points.  If you need more, speak with your coach.</a:t>
          </a:r>
        </a:p>
        <a:p>
          <a:endParaRPr lang="en-GB" sz="1200" baseline="0">
            <a:latin typeface="+mn-lt"/>
          </a:endParaRPr>
        </a:p>
        <a:p>
          <a:r>
            <a:rPr lang="en-GB" sz="1200" b="1" baseline="0">
              <a:latin typeface="+mn-lt"/>
            </a:rPr>
            <a:t>The Maths...</a:t>
          </a:r>
        </a:p>
        <a:p>
          <a:r>
            <a:rPr lang="en-GB" sz="1200">
              <a:latin typeface="+mn-lt"/>
            </a:rPr>
            <a:t>The Centre Line is just the average (mean)</a:t>
          </a:r>
        </a:p>
        <a:p>
          <a:r>
            <a:rPr lang="en-GB" sz="1200">
              <a:latin typeface="+mn-lt"/>
            </a:rPr>
            <a:t>the Upper Control</a:t>
          </a:r>
          <a:r>
            <a:rPr lang="en-GB" sz="1200" baseline="0">
              <a:latin typeface="+mn-lt"/>
            </a:rPr>
            <a:t> Limit (UCL) and Lower Control Limit (LCL) = mean  +/- 3 x sqrt(mean(1-mean)/number in sample)</a:t>
          </a:r>
        </a:p>
        <a:p>
          <a:r>
            <a:rPr lang="en-GB" sz="1200" baseline="0">
              <a:latin typeface="+mn-lt"/>
            </a:rPr>
            <a:t>If the number in the sample varies for each observation then there are two approaches commonly used.</a:t>
          </a:r>
        </a:p>
        <a:p>
          <a:r>
            <a:rPr lang="en-GB" sz="1200" baseline="0">
              <a:latin typeface="+mn-lt"/>
            </a:rPr>
            <a:t>1) Use the average number  of observations .</a:t>
          </a:r>
        </a:p>
        <a:p>
          <a:r>
            <a:rPr lang="en-GB" sz="1200" baseline="0">
              <a:latin typeface="+mn-lt"/>
            </a:rPr>
            <a:t>2) Vary the  UCL/LCL based on the sample size for the  observation in question.</a:t>
          </a:r>
          <a:endParaRPr lang="en-GB" sz="1200">
            <a:latin typeface="+mn-lt"/>
          </a:endParaRPr>
        </a:p>
      </xdr:txBody>
    </xdr:sp>
    <xdr:clientData/>
  </xdr:twoCellAnchor>
  <xdr:twoCellAnchor>
    <xdr:from>
      <xdr:col>48</xdr:col>
      <xdr:colOff>371475</xdr:colOff>
      <xdr:row>23</xdr:row>
      <xdr:rowOff>152401</xdr:rowOff>
    </xdr:from>
    <xdr:to>
      <xdr:col>50</xdr:col>
      <xdr:colOff>428625</xdr:colOff>
      <xdr:row>26</xdr:row>
      <xdr:rowOff>52329</xdr:rowOff>
    </xdr:to>
    <xdr:pic>
      <xdr:nvPicPr>
        <xdr:cNvPr id="5" name="Picture 1" descr="\bar p \pm 3\sqrt{\frac{\bar p(1-\bar p)}{n_i}}">
          <a:extLst>
            <a:ext uri="{FF2B5EF4-FFF2-40B4-BE49-F238E27FC236}">
              <a16:creationId xmlns:a16="http://schemas.microsoft.com/office/drawing/2014/main" id="{00000000-0008-0000-1B00-000005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5935325" y="4943476"/>
          <a:ext cx="1276350" cy="471428"/>
        </a:xfrm>
        <a:prstGeom prst="rect">
          <a:avLst/>
        </a:prstGeom>
        <a:noFill/>
      </xdr:spPr>
    </xdr:pic>
    <xdr:clientData/>
  </xdr:twoCellAnchor>
  <xdr:twoCellAnchor>
    <xdr:from>
      <xdr:col>0</xdr:col>
      <xdr:colOff>729343</xdr:colOff>
      <xdr:row>1</xdr:row>
      <xdr:rowOff>9525</xdr:rowOff>
    </xdr:from>
    <xdr:to>
      <xdr:col>3</xdr:col>
      <xdr:colOff>106680</xdr:colOff>
      <xdr:row>21</xdr:row>
      <xdr:rowOff>19050</xdr:rowOff>
    </xdr:to>
    <xdr:sp macro="" textlink="">
      <xdr:nvSpPr>
        <xdr:cNvPr id="6" name="Rectangle 5">
          <a:extLst>
            <a:ext uri="{FF2B5EF4-FFF2-40B4-BE49-F238E27FC236}">
              <a16:creationId xmlns:a16="http://schemas.microsoft.com/office/drawing/2014/main" id="{00000000-0008-0000-1B00-000006000000}"/>
            </a:ext>
          </a:extLst>
        </xdr:cNvPr>
        <xdr:cNvSpPr/>
      </xdr:nvSpPr>
      <xdr:spPr>
        <a:xfrm>
          <a:off x="729343" y="836839"/>
          <a:ext cx="1783080" cy="4581525"/>
        </a:xfrm>
        <a:prstGeom prst="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GB" sz="1100"/>
        </a:p>
      </xdr:txBody>
    </xdr:sp>
    <xdr:clientData/>
  </xdr:twoCellAnchor>
  <xdr:twoCellAnchor>
    <xdr:from>
      <xdr:col>3</xdr:col>
      <xdr:colOff>468085</xdr:colOff>
      <xdr:row>14</xdr:row>
      <xdr:rowOff>34834</xdr:rowOff>
    </xdr:from>
    <xdr:to>
      <xdr:col>7</xdr:col>
      <xdr:colOff>143434</xdr:colOff>
      <xdr:row>22</xdr:row>
      <xdr:rowOff>203199</xdr:rowOff>
    </xdr:to>
    <xdr:sp macro="" textlink="">
      <xdr:nvSpPr>
        <xdr:cNvPr id="7" name="Line Callout 1 (Accent Bar) 6">
          <a:extLst>
            <a:ext uri="{FF2B5EF4-FFF2-40B4-BE49-F238E27FC236}">
              <a16:creationId xmlns:a16="http://schemas.microsoft.com/office/drawing/2014/main" id="{00000000-0008-0000-1B00-000007000000}"/>
            </a:ext>
          </a:extLst>
        </xdr:cNvPr>
        <xdr:cNvSpPr/>
      </xdr:nvSpPr>
      <xdr:spPr>
        <a:xfrm>
          <a:off x="3541485" y="3476534"/>
          <a:ext cx="2367749" cy="1793965"/>
        </a:xfrm>
        <a:prstGeom prst="accentCallout1">
          <a:avLst>
            <a:gd name="adj1" fmla="val 18750"/>
            <a:gd name="adj2" fmla="val -8333"/>
            <a:gd name="adj3" fmla="val -34471"/>
            <a:gd name="adj4" fmla="val -36323"/>
          </a:avLst>
        </a:prstGeom>
        <a:solidFill>
          <a:schemeClr val="bg1"/>
        </a:solid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r>
            <a:rPr lang="en-GB" sz="1200" b="1">
              <a:solidFill>
                <a:srgbClr val="7030A0"/>
              </a:solidFill>
              <a:effectLst/>
              <a:latin typeface="+mn-lt"/>
              <a:ea typeface="+mn-ea"/>
              <a:cs typeface="+mn-cs"/>
            </a:rPr>
            <a:t>Step 1</a:t>
          </a:r>
          <a:endParaRPr lang="en-GB" sz="1200">
            <a:solidFill>
              <a:srgbClr val="7030A0"/>
            </a:solidFill>
            <a:effectLst/>
            <a:latin typeface="+mn-lt"/>
          </a:endParaRPr>
        </a:p>
        <a:p>
          <a:r>
            <a:rPr lang="en-GB" sz="1200" b="0">
              <a:solidFill>
                <a:srgbClr val="7030A0"/>
              </a:solidFill>
              <a:effectLst/>
              <a:latin typeface="+mn-lt"/>
              <a:ea typeface="+mn-ea"/>
              <a:cs typeface="+mn-cs"/>
            </a:rPr>
            <a:t>Enter your data in column B.</a:t>
          </a:r>
          <a:endParaRPr lang="en-GB" sz="1200">
            <a:solidFill>
              <a:srgbClr val="7030A0"/>
            </a:solidFill>
            <a:effectLst/>
            <a:latin typeface="+mn-lt"/>
          </a:endParaRPr>
        </a:p>
        <a:p>
          <a:r>
            <a:rPr lang="en-GB" sz="1200" b="0">
              <a:solidFill>
                <a:srgbClr val="7030A0"/>
              </a:solidFill>
              <a:effectLst/>
              <a:latin typeface="+mn-lt"/>
              <a:ea typeface="+mn-ea"/>
              <a:cs typeface="+mn-cs"/>
            </a:rPr>
            <a:t>If you</a:t>
          </a:r>
          <a:r>
            <a:rPr lang="en-GB" sz="1200" b="0" baseline="0">
              <a:solidFill>
                <a:srgbClr val="7030A0"/>
              </a:solidFill>
              <a:effectLst/>
              <a:latin typeface="+mn-lt"/>
              <a:ea typeface="+mn-ea"/>
              <a:cs typeface="+mn-cs"/>
            </a:rPr>
            <a:t> want to show your date/period, copy it in column A.</a:t>
          </a:r>
        </a:p>
        <a:p>
          <a:pPr marL="0" marR="0" lvl="0" indent="0" defTabSz="914400" eaLnBrk="1" fontAlgn="auto" latinLnBrk="0" hangingPunct="1">
            <a:lnSpc>
              <a:spcPct val="100000"/>
            </a:lnSpc>
            <a:spcBef>
              <a:spcPts val="0"/>
            </a:spcBef>
            <a:spcAft>
              <a:spcPts val="0"/>
            </a:spcAft>
            <a:buClrTx/>
            <a:buSzTx/>
            <a:buFontTx/>
            <a:buNone/>
            <a:tabLst/>
            <a:defRPr/>
          </a:pPr>
          <a:r>
            <a:rPr lang="en-GB" sz="1200" b="0">
              <a:solidFill>
                <a:srgbClr val="7030A0"/>
              </a:solidFill>
              <a:effectLst/>
              <a:latin typeface="+mn-lt"/>
              <a:ea typeface="+mn-ea"/>
              <a:cs typeface="+mn-cs"/>
            </a:rPr>
            <a:t>The calculations assume</a:t>
          </a:r>
          <a:r>
            <a:rPr lang="en-GB" sz="1200" b="0" baseline="0">
              <a:solidFill>
                <a:srgbClr val="7030A0"/>
              </a:solidFill>
              <a:effectLst/>
              <a:latin typeface="+mn-lt"/>
              <a:ea typeface="+mn-ea"/>
              <a:cs typeface="+mn-cs"/>
            </a:rPr>
            <a:t> you have 20 data points to establish a global mean for the performance, if you don't have this please contact your coach</a:t>
          </a:r>
          <a:endParaRPr lang="en-GB" sz="1200">
            <a:solidFill>
              <a:srgbClr val="7030A0"/>
            </a:solidFill>
            <a:effectLst/>
            <a:latin typeface="+mn-lt"/>
          </a:endParaRPr>
        </a:p>
        <a:p>
          <a:endParaRPr lang="en-GB" sz="1200">
            <a:solidFill>
              <a:srgbClr val="7030A0"/>
            </a:solidFill>
            <a:effectLst/>
            <a:latin typeface="+mn-lt"/>
          </a:endParaRPr>
        </a:p>
      </xdr:txBody>
    </xdr:sp>
    <xdr:clientData/>
  </xdr:twoCellAnchor>
  <xdr:twoCellAnchor>
    <xdr:from>
      <xdr:col>8</xdr:col>
      <xdr:colOff>598714</xdr:colOff>
      <xdr:row>13</xdr:row>
      <xdr:rowOff>3628</xdr:rowOff>
    </xdr:from>
    <xdr:to>
      <xdr:col>14</xdr:col>
      <xdr:colOff>606334</xdr:colOff>
      <xdr:row>22</xdr:row>
      <xdr:rowOff>139700</xdr:rowOff>
    </xdr:to>
    <xdr:sp macro="" textlink="">
      <xdr:nvSpPr>
        <xdr:cNvPr id="8" name="Line Callout 1 (Accent Bar) 7">
          <a:extLst>
            <a:ext uri="{FF2B5EF4-FFF2-40B4-BE49-F238E27FC236}">
              <a16:creationId xmlns:a16="http://schemas.microsoft.com/office/drawing/2014/main" id="{00000000-0008-0000-1B00-000008000000}"/>
            </a:ext>
          </a:extLst>
        </xdr:cNvPr>
        <xdr:cNvSpPr/>
      </xdr:nvSpPr>
      <xdr:spPr>
        <a:xfrm>
          <a:off x="7037614" y="3242128"/>
          <a:ext cx="4046220" cy="1964872"/>
        </a:xfrm>
        <a:prstGeom prst="accentCallout1">
          <a:avLst>
            <a:gd name="adj1" fmla="val 3386"/>
            <a:gd name="adj2" fmla="val -660"/>
            <a:gd name="adj3" fmla="val -9785"/>
            <a:gd name="adj4" fmla="val -10778"/>
          </a:avLst>
        </a:prstGeom>
        <a:solidFill>
          <a:schemeClr val="bg1"/>
        </a:solid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200" b="1">
              <a:solidFill>
                <a:srgbClr val="7030A0"/>
              </a:solidFill>
              <a:latin typeface="+mn-lt"/>
            </a:rPr>
            <a:t>Step 2</a:t>
          </a:r>
        </a:p>
        <a:p>
          <a:pPr algn="l"/>
          <a:r>
            <a:rPr lang="en-GB" sz="1200" b="0">
              <a:solidFill>
                <a:srgbClr val="7030A0"/>
              </a:solidFill>
              <a:latin typeface="+mn-lt"/>
            </a:rPr>
            <a:t>Edit the area for the data taken into account by</a:t>
          </a:r>
          <a:r>
            <a:rPr lang="en-GB" sz="1200" b="0" baseline="0">
              <a:solidFill>
                <a:srgbClr val="7030A0"/>
              </a:solidFill>
              <a:latin typeface="+mn-lt"/>
            </a:rPr>
            <a:t> the graphs as needed.</a:t>
          </a:r>
        </a:p>
        <a:p>
          <a:pPr algn="l"/>
          <a:r>
            <a:rPr lang="en-GB" sz="1200" b="0" baseline="0">
              <a:solidFill>
                <a:srgbClr val="7030A0"/>
              </a:solidFill>
              <a:latin typeface="+mn-lt"/>
            </a:rPr>
            <a:t>- Note the last row with data (e.g. row 22)</a:t>
          </a:r>
        </a:p>
        <a:p>
          <a:pPr algn="l"/>
          <a:r>
            <a:rPr lang="en-GB" sz="1200" b="0" baseline="0">
              <a:solidFill>
                <a:srgbClr val="7030A0"/>
              </a:solidFill>
              <a:latin typeface="+mn-lt"/>
            </a:rPr>
            <a:t>- Right-click in the chart area</a:t>
          </a:r>
        </a:p>
        <a:p>
          <a:pPr algn="l"/>
          <a:r>
            <a:rPr lang="en-GB" sz="1200" b="0" baseline="0">
              <a:solidFill>
                <a:srgbClr val="7030A0"/>
              </a:solidFill>
              <a:latin typeface="+mn-lt"/>
            </a:rPr>
            <a:t>- Pick 'Select data'</a:t>
          </a:r>
        </a:p>
        <a:p>
          <a:pPr algn="l"/>
          <a:r>
            <a:rPr lang="en-GB" sz="1200" b="0" baseline="0">
              <a:solidFill>
                <a:srgbClr val="7030A0"/>
              </a:solidFill>
              <a:latin typeface="+mn-lt"/>
            </a:rPr>
            <a:t>- In the "chart data range" field, change the row number to correspond to your last row with data. </a:t>
          </a:r>
        </a:p>
        <a:p>
          <a:pPr algn="l"/>
          <a:r>
            <a:rPr lang="en-GB" sz="1200" b="0" baseline="0">
              <a:solidFill>
                <a:srgbClr val="7030A0"/>
              </a:solidFill>
              <a:latin typeface="+mn-lt"/>
            </a:rPr>
            <a:t>You may need to change the Max value of the Y axis to work with your data (through format shape &gt; Format Axis)</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4</xdr:col>
      <xdr:colOff>95794</xdr:colOff>
      <xdr:row>23</xdr:row>
      <xdr:rowOff>10341</xdr:rowOff>
    </xdr:from>
    <xdr:to>
      <xdr:col>16</xdr:col>
      <xdr:colOff>210094</xdr:colOff>
      <xdr:row>43</xdr:row>
      <xdr:rowOff>72573</xdr:rowOff>
    </xdr:to>
    <xdr:sp macro="" textlink="">
      <xdr:nvSpPr>
        <xdr:cNvPr id="4" name="TextBox 3">
          <a:extLst>
            <a:ext uri="{FF2B5EF4-FFF2-40B4-BE49-F238E27FC236}">
              <a16:creationId xmlns:a16="http://schemas.microsoft.com/office/drawing/2014/main" id="{00000000-0008-0000-1C00-000004000000}"/>
            </a:ext>
          </a:extLst>
        </xdr:cNvPr>
        <xdr:cNvSpPr txBox="1"/>
      </xdr:nvSpPr>
      <xdr:spPr>
        <a:xfrm>
          <a:off x="4032794" y="4999627"/>
          <a:ext cx="8169729" cy="40536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200">
              <a:latin typeface="+mn-lt"/>
            </a:rPr>
            <a:t>When to use  a </a:t>
          </a:r>
          <a:r>
            <a:rPr lang="en-GB" sz="1200">
              <a:solidFill>
                <a:schemeClr val="accent1"/>
              </a:solidFill>
              <a:latin typeface="+mn-lt"/>
            </a:rPr>
            <a:t>nProportions</a:t>
          </a:r>
          <a:r>
            <a:rPr lang="en-GB" sz="1200" baseline="0">
              <a:solidFill>
                <a:sysClr val="windowText" lastClr="000000"/>
              </a:solidFill>
              <a:latin typeface="+mn-lt"/>
              <a:ea typeface="+mn-ea"/>
              <a:cs typeface="+mn-cs"/>
            </a:rPr>
            <a:t> </a:t>
          </a:r>
          <a:r>
            <a:rPr lang="en-GB" sz="1200" baseline="0">
              <a:solidFill>
                <a:schemeClr val="dk1"/>
              </a:solidFill>
              <a:latin typeface="+mn-lt"/>
              <a:ea typeface="+mn-ea"/>
              <a:cs typeface="+mn-cs"/>
            </a:rPr>
            <a:t>chart </a:t>
          </a:r>
        </a:p>
        <a:p>
          <a:pPr marL="0" marR="0" indent="0" defTabSz="914400" eaLnBrk="1" fontAlgn="auto" latinLnBrk="0" hangingPunct="1">
            <a:lnSpc>
              <a:spcPct val="100000"/>
            </a:lnSpc>
            <a:spcBef>
              <a:spcPts val="0"/>
            </a:spcBef>
            <a:spcAft>
              <a:spcPts val="0"/>
            </a:spcAft>
            <a:buClrTx/>
            <a:buSzTx/>
            <a:buFontTx/>
            <a:buNone/>
            <a:tabLst/>
            <a:defRPr/>
          </a:pPr>
          <a:r>
            <a:rPr lang="en-GB" sz="1200" b="0" baseline="0">
              <a:solidFill>
                <a:schemeClr val="dk1"/>
              </a:solidFill>
              <a:latin typeface="+mn-lt"/>
              <a:ea typeface="+mn-ea"/>
              <a:cs typeface="+mn-cs"/>
            </a:rPr>
            <a:t>This graph will produce exactly the same chart as the P chart but with a vertical scale that is in numbers of defects rather than proportion of defects</a:t>
          </a:r>
          <a:endParaRPr lang="en-GB" sz="1200" b="0">
            <a:solidFill>
              <a:schemeClr val="dk1"/>
            </a:solidFill>
            <a:latin typeface="+mn-lt"/>
            <a:ea typeface="+mn-ea"/>
            <a:cs typeface="+mn-cs"/>
          </a:endParaRPr>
        </a:p>
        <a:p>
          <a:endParaRPr lang="en-GB" sz="1200">
            <a:latin typeface="+mn-lt"/>
          </a:endParaRPr>
        </a:p>
        <a:p>
          <a:r>
            <a:rPr lang="en-GB" sz="1200">
              <a:latin typeface="+mn-lt"/>
            </a:rPr>
            <a:t>1. Is the measure a number of defects? i.e. </a:t>
          </a:r>
          <a:r>
            <a:rPr lang="en-GB" sz="1200" baseline="0">
              <a:latin typeface="+mn-lt"/>
            </a:rPr>
            <a:t> defective units ( e.g. orders late)</a:t>
          </a:r>
        </a:p>
        <a:p>
          <a:r>
            <a:rPr lang="en-GB" sz="1200" baseline="0">
              <a:latin typeface="+mn-lt"/>
            </a:rPr>
            <a:t>2. Are there only two outcomes (pass or fail, yes or no, black or white etc.)</a:t>
          </a:r>
          <a:endParaRPr lang="en-GB" sz="1200">
            <a:latin typeface="+mn-lt"/>
          </a:endParaRPr>
        </a:p>
        <a:p>
          <a:endParaRPr lang="en-GB" sz="1200" baseline="0">
            <a:latin typeface="+mn-lt"/>
          </a:endParaRPr>
        </a:p>
        <a:p>
          <a:r>
            <a:rPr lang="en-GB" sz="1200" b="1" baseline="0">
              <a:latin typeface="+mn-lt"/>
            </a:rPr>
            <a:t>Tips.</a:t>
          </a:r>
        </a:p>
        <a:p>
          <a:r>
            <a:rPr lang="en-GB" sz="1200" b="1">
              <a:latin typeface="+mn-lt"/>
            </a:rPr>
            <a:t>Collect as much data as possible before calculating control limits.</a:t>
          </a:r>
          <a:r>
            <a:rPr lang="en-GB" sz="1200">
              <a:latin typeface="+mn-lt"/>
            </a:rPr>
            <a:t>  The more subgroups you use in control limit calculations, the more reliable the analysis will be. Typically, 20 to 25 samples will be used in control limit calculations, </a:t>
          </a:r>
          <a:r>
            <a:rPr lang="en-GB" sz="1200" baseline="0">
              <a:latin typeface="+mn-lt"/>
            </a:rPr>
            <a:t> due to this you really want to increase the frequency of the data , weekly data  will require 6 months  data to produce control limits, hourly data takes a day!  The worksheet is set-up for up-to and including 100 data-points.</a:t>
          </a:r>
        </a:p>
        <a:p>
          <a:endParaRPr lang="en-GB" sz="1200">
            <a:latin typeface="+mn-lt"/>
          </a:endParaRPr>
        </a:p>
        <a:p>
          <a:r>
            <a:rPr lang="en-GB" sz="1200" b="1" baseline="0">
              <a:latin typeface="+mn-lt"/>
            </a:rPr>
            <a:t>The Maths...</a:t>
          </a:r>
        </a:p>
        <a:p>
          <a:r>
            <a:rPr lang="en-GB" sz="1200">
              <a:latin typeface="+mn-lt"/>
            </a:rPr>
            <a:t>The Centre Line is the average (mean)</a:t>
          </a:r>
        </a:p>
        <a:p>
          <a:r>
            <a:rPr lang="en-GB" sz="1200">
              <a:latin typeface="+mn-lt"/>
            </a:rPr>
            <a:t>the Upper Control</a:t>
          </a:r>
          <a:r>
            <a:rPr lang="en-GB" sz="1200" baseline="0">
              <a:latin typeface="+mn-lt"/>
            </a:rPr>
            <a:t> Limit (UCL) and Lower Control Limit (LCL) = number in sample x mean  +/- 3 x sqrt(number in sample x mean x (1-mean))</a:t>
          </a:r>
        </a:p>
        <a:p>
          <a:endParaRPr lang="en-GB" sz="1200" baseline="0">
            <a:latin typeface="+mn-lt"/>
          </a:endParaRPr>
        </a:p>
        <a:p>
          <a:r>
            <a:rPr lang="en-GB" sz="1200" baseline="0">
              <a:latin typeface="+mn-lt"/>
            </a:rPr>
            <a:t>If the number in the sample varies for each observation then there are two approaches commonly used.</a:t>
          </a:r>
        </a:p>
        <a:p>
          <a:r>
            <a:rPr lang="en-GB" sz="1200" baseline="0">
              <a:latin typeface="+mn-lt"/>
            </a:rPr>
            <a:t>1) use the average number  of observations (see P chart)</a:t>
          </a:r>
        </a:p>
        <a:p>
          <a:r>
            <a:rPr lang="en-GB" sz="1200" baseline="0">
              <a:latin typeface="+mn-lt"/>
            </a:rPr>
            <a:t>2) Manually vary the  UCL/LCL based on the sample size for the  observation in question.</a:t>
          </a:r>
        </a:p>
      </xdr:txBody>
    </xdr:sp>
    <xdr:clientData/>
  </xdr:twoCellAnchor>
  <xdr:twoCellAnchor>
    <xdr:from>
      <xdr:col>4</xdr:col>
      <xdr:colOff>106680</xdr:colOff>
      <xdr:row>0</xdr:row>
      <xdr:rowOff>104775</xdr:rowOff>
    </xdr:from>
    <xdr:to>
      <xdr:col>16</xdr:col>
      <xdr:colOff>335281</xdr:colOff>
      <xdr:row>12</xdr:row>
      <xdr:rowOff>152400</xdr:rowOff>
    </xdr:to>
    <xdr:graphicFrame macro="">
      <xdr:nvGraphicFramePr>
        <xdr:cNvPr id="7" name="Chart 6">
          <a:extLst>
            <a:ext uri="{FF2B5EF4-FFF2-40B4-BE49-F238E27FC236}">
              <a16:creationId xmlns:a16="http://schemas.microsoft.com/office/drawing/2014/main" id="{00000000-0008-0000-1C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438150</xdr:colOff>
      <xdr:row>26</xdr:row>
      <xdr:rowOff>19050</xdr:rowOff>
    </xdr:from>
    <xdr:to>
      <xdr:col>15</xdr:col>
      <xdr:colOff>62865</xdr:colOff>
      <xdr:row>27</xdr:row>
      <xdr:rowOff>78105</xdr:rowOff>
    </xdr:to>
    <xdr:pic>
      <xdr:nvPicPr>
        <xdr:cNvPr id="8193" name="Picture 1" descr="n\bar p \pm 3\sqrt{n\bar p(1-\bar p)}">
          <a:extLst>
            <a:ext uri="{FF2B5EF4-FFF2-40B4-BE49-F238E27FC236}">
              <a16:creationId xmlns:a16="http://schemas.microsoft.com/office/drawing/2014/main" id="{00000000-0008-0000-1C00-0000012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9867900" y="5381625"/>
          <a:ext cx="1457325" cy="295275"/>
        </a:xfrm>
        <a:prstGeom prst="rect">
          <a:avLst/>
        </a:prstGeom>
        <a:noFill/>
      </xdr:spPr>
    </xdr:pic>
    <xdr:clientData/>
  </xdr:twoCellAnchor>
  <xdr:twoCellAnchor>
    <xdr:from>
      <xdr:col>0</xdr:col>
      <xdr:colOff>892629</xdr:colOff>
      <xdr:row>1</xdr:row>
      <xdr:rowOff>9525</xdr:rowOff>
    </xdr:from>
    <xdr:to>
      <xdr:col>3</xdr:col>
      <xdr:colOff>106680</xdr:colOff>
      <xdr:row>22</xdr:row>
      <xdr:rowOff>43543</xdr:rowOff>
    </xdr:to>
    <xdr:sp macro="" textlink="">
      <xdr:nvSpPr>
        <xdr:cNvPr id="11" name="Rectangle 10">
          <a:extLst>
            <a:ext uri="{FF2B5EF4-FFF2-40B4-BE49-F238E27FC236}">
              <a16:creationId xmlns:a16="http://schemas.microsoft.com/office/drawing/2014/main" id="{00000000-0008-0000-1C00-00000B000000}"/>
            </a:ext>
          </a:extLst>
        </xdr:cNvPr>
        <xdr:cNvSpPr/>
      </xdr:nvSpPr>
      <xdr:spPr>
        <a:xfrm>
          <a:off x="892629" y="608239"/>
          <a:ext cx="1913708" cy="4834618"/>
        </a:xfrm>
        <a:prstGeom prst="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GB" sz="1100"/>
        </a:p>
      </xdr:txBody>
    </xdr:sp>
    <xdr:clientData/>
  </xdr:twoCellAnchor>
  <xdr:twoCellAnchor>
    <xdr:from>
      <xdr:col>3</xdr:col>
      <xdr:colOff>585106</xdr:colOff>
      <xdr:row>12</xdr:row>
      <xdr:rowOff>218802</xdr:rowOff>
    </xdr:from>
    <xdr:to>
      <xdr:col>6</xdr:col>
      <xdr:colOff>586740</xdr:colOff>
      <xdr:row>17</xdr:row>
      <xdr:rowOff>129540</xdr:rowOff>
    </xdr:to>
    <xdr:sp macro="" textlink="">
      <xdr:nvSpPr>
        <xdr:cNvPr id="12" name="Line Callout 1 (Accent Bar) 11">
          <a:extLst>
            <a:ext uri="{FF2B5EF4-FFF2-40B4-BE49-F238E27FC236}">
              <a16:creationId xmlns:a16="http://schemas.microsoft.com/office/drawing/2014/main" id="{00000000-0008-0000-1C00-00000C000000}"/>
            </a:ext>
          </a:extLst>
        </xdr:cNvPr>
        <xdr:cNvSpPr/>
      </xdr:nvSpPr>
      <xdr:spPr>
        <a:xfrm>
          <a:off x="3282586" y="3327762"/>
          <a:ext cx="2051414" cy="1053738"/>
        </a:xfrm>
        <a:prstGeom prst="accentCallout1">
          <a:avLst>
            <a:gd name="adj1" fmla="val 18750"/>
            <a:gd name="adj2" fmla="val -8333"/>
            <a:gd name="adj3" fmla="val -23360"/>
            <a:gd name="adj4" fmla="val -43014"/>
          </a:avLst>
        </a:prstGeom>
        <a:solidFill>
          <a:schemeClr val="bg1"/>
        </a:solid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r>
            <a:rPr lang="en-GB" sz="1200" b="1">
              <a:solidFill>
                <a:srgbClr val="7030A0"/>
              </a:solidFill>
              <a:effectLst/>
              <a:latin typeface="+mn-lt"/>
              <a:ea typeface="+mn-ea"/>
              <a:cs typeface="+mn-cs"/>
            </a:rPr>
            <a:t>Step 1</a:t>
          </a:r>
          <a:endParaRPr lang="en-GB" sz="1200">
            <a:solidFill>
              <a:srgbClr val="7030A0"/>
            </a:solidFill>
            <a:effectLst/>
            <a:latin typeface="+mn-lt"/>
          </a:endParaRPr>
        </a:p>
        <a:p>
          <a:r>
            <a:rPr lang="en-GB" sz="1200" b="0">
              <a:solidFill>
                <a:srgbClr val="7030A0"/>
              </a:solidFill>
              <a:effectLst/>
              <a:latin typeface="+mn-lt"/>
              <a:ea typeface="+mn-ea"/>
              <a:cs typeface="+mn-cs"/>
            </a:rPr>
            <a:t>Enter your data in column B.</a:t>
          </a:r>
          <a:endParaRPr lang="en-GB" sz="1200">
            <a:solidFill>
              <a:srgbClr val="7030A0"/>
            </a:solidFill>
            <a:effectLst/>
            <a:latin typeface="+mn-lt"/>
          </a:endParaRPr>
        </a:p>
        <a:p>
          <a:r>
            <a:rPr lang="en-GB" sz="1200" b="0">
              <a:solidFill>
                <a:srgbClr val="7030A0"/>
              </a:solidFill>
              <a:effectLst/>
              <a:latin typeface="+mn-lt"/>
              <a:ea typeface="+mn-ea"/>
              <a:cs typeface="+mn-cs"/>
            </a:rPr>
            <a:t>If you</a:t>
          </a:r>
          <a:r>
            <a:rPr lang="en-GB" sz="1200" b="0" baseline="0">
              <a:solidFill>
                <a:srgbClr val="7030A0"/>
              </a:solidFill>
              <a:effectLst/>
              <a:latin typeface="+mn-lt"/>
              <a:ea typeface="+mn-ea"/>
              <a:cs typeface="+mn-cs"/>
            </a:rPr>
            <a:t> want to show your date/period, copy it in column A</a:t>
          </a:r>
          <a:endParaRPr lang="en-GB" sz="1200">
            <a:solidFill>
              <a:srgbClr val="7030A0"/>
            </a:solidFill>
            <a:latin typeface="+mn-lt"/>
          </a:endParaRPr>
        </a:p>
      </xdr:txBody>
    </xdr:sp>
    <xdr:clientData/>
  </xdr:twoCellAnchor>
  <xdr:twoCellAnchor>
    <xdr:from>
      <xdr:col>9</xdr:col>
      <xdr:colOff>504008</xdr:colOff>
      <xdr:row>12</xdr:row>
      <xdr:rowOff>200297</xdr:rowOff>
    </xdr:from>
    <xdr:to>
      <xdr:col>15</xdr:col>
      <xdr:colOff>500742</xdr:colOff>
      <xdr:row>20</xdr:row>
      <xdr:rowOff>65315</xdr:rowOff>
    </xdr:to>
    <xdr:sp macro="" textlink="">
      <xdr:nvSpPr>
        <xdr:cNvPr id="8" name="Line Callout 1 (Accent Bar) 7">
          <a:extLst>
            <a:ext uri="{FF2B5EF4-FFF2-40B4-BE49-F238E27FC236}">
              <a16:creationId xmlns:a16="http://schemas.microsoft.com/office/drawing/2014/main" id="{00000000-0008-0000-1C00-000008000000}"/>
            </a:ext>
          </a:extLst>
        </xdr:cNvPr>
        <xdr:cNvSpPr/>
      </xdr:nvSpPr>
      <xdr:spPr>
        <a:xfrm>
          <a:off x="7078979" y="3313611"/>
          <a:ext cx="3654334" cy="1693818"/>
        </a:xfrm>
        <a:prstGeom prst="accentCallout1">
          <a:avLst>
            <a:gd name="adj1" fmla="val 3386"/>
            <a:gd name="adj2" fmla="val -660"/>
            <a:gd name="adj3" fmla="val -9785"/>
            <a:gd name="adj4" fmla="val -10778"/>
          </a:avLst>
        </a:prstGeom>
        <a:solidFill>
          <a:schemeClr val="bg1"/>
        </a:solid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200" b="1">
              <a:solidFill>
                <a:srgbClr val="7030A0"/>
              </a:solidFill>
              <a:latin typeface="+mn-lt"/>
            </a:rPr>
            <a:t>Step 2</a:t>
          </a:r>
        </a:p>
        <a:p>
          <a:pPr algn="l"/>
          <a:r>
            <a:rPr lang="en-GB" sz="1200" b="0">
              <a:solidFill>
                <a:srgbClr val="7030A0"/>
              </a:solidFill>
              <a:latin typeface="+mn-lt"/>
            </a:rPr>
            <a:t>Edit the area for the data taken into account by</a:t>
          </a:r>
          <a:r>
            <a:rPr lang="en-GB" sz="1200" b="0" baseline="0">
              <a:solidFill>
                <a:srgbClr val="7030A0"/>
              </a:solidFill>
              <a:latin typeface="+mn-lt"/>
            </a:rPr>
            <a:t> the graphs as needed.</a:t>
          </a:r>
        </a:p>
        <a:p>
          <a:pPr algn="l"/>
          <a:r>
            <a:rPr lang="en-GB" sz="1200" b="0" baseline="0">
              <a:solidFill>
                <a:srgbClr val="7030A0"/>
              </a:solidFill>
              <a:latin typeface="+mn-lt"/>
            </a:rPr>
            <a:t>- Note the last row with data (e.g. row 22)</a:t>
          </a:r>
        </a:p>
        <a:p>
          <a:pPr algn="l"/>
          <a:r>
            <a:rPr lang="en-GB" sz="1200" b="0" baseline="0">
              <a:solidFill>
                <a:srgbClr val="7030A0"/>
              </a:solidFill>
              <a:latin typeface="+mn-lt"/>
            </a:rPr>
            <a:t>- Right-click in the chart area</a:t>
          </a:r>
        </a:p>
        <a:p>
          <a:pPr algn="l"/>
          <a:r>
            <a:rPr lang="en-GB" sz="1200" b="0" baseline="0">
              <a:solidFill>
                <a:srgbClr val="7030A0"/>
              </a:solidFill>
              <a:latin typeface="+mn-lt"/>
            </a:rPr>
            <a:t>- Pick 'Select data'</a:t>
          </a:r>
        </a:p>
        <a:p>
          <a:pPr algn="l"/>
          <a:r>
            <a:rPr lang="en-GB" sz="1200" b="0" baseline="0">
              <a:solidFill>
                <a:srgbClr val="7030A0"/>
              </a:solidFill>
              <a:latin typeface="+mn-lt"/>
            </a:rPr>
            <a:t>- In the "chart data range" field, change the row number to correspond to your last row with data. </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3</xdr:col>
      <xdr:colOff>295274</xdr:colOff>
      <xdr:row>0</xdr:row>
      <xdr:rowOff>114300</xdr:rowOff>
    </xdr:from>
    <xdr:to>
      <xdr:col>15</xdr:col>
      <xdr:colOff>476249</xdr:colOff>
      <xdr:row>12</xdr:row>
      <xdr:rowOff>161925</xdr:rowOff>
    </xdr:to>
    <xdr:graphicFrame macro="">
      <xdr:nvGraphicFramePr>
        <xdr:cNvPr id="2" name="Chart 1">
          <a:extLst>
            <a:ext uri="{FF2B5EF4-FFF2-40B4-BE49-F238E27FC236}">
              <a16:creationId xmlns:a16="http://schemas.microsoft.com/office/drawing/2014/main" id="{00000000-0008-0000-1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353658</xdr:colOff>
      <xdr:row>21</xdr:row>
      <xdr:rowOff>25212</xdr:rowOff>
    </xdr:from>
    <xdr:to>
      <xdr:col>15</xdr:col>
      <xdr:colOff>1980752</xdr:colOff>
      <xdr:row>44</xdr:row>
      <xdr:rowOff>11205</xdr:rowOff>
    </xdr:to>
    <xdr:sp macro="" textlink="">
      <xdr:nvSpPr>
        <xdr:cNvPr id="3" name="TextBox 2">
          <a:extLst>
            <a:ext uri="{FF2B5EF4-FFF2-40B4-BE49-F238E27FC236}">
              <a16:creationId xmlns:a16="http://schemas.microsoft.com/office/drawing/2014/main" id="{00000000-0008-0000-1D00-000003000000}"/>
            </a:ext>
          </a:extLst>
        </xdr:cNvPr>
        <xdr:cNvSpPr txBox="1"/>
      </xdr:nvSpPr>
      <xdr:spPr>
        <a:xfrm>
          <a:off x="3132717" y="4664447"/>
          <a:ext cx="8619564" cy="4625229"/>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200">
              <a:solidFill>
                <a:schemeClr val="dk1"/>
              </a:solidFill>
              <a:latin typeface="+mn-lt"/>
              <a:ea typeface="+mn-ea"/>
              <a:cs typeface="+mn-cs"/>
            </a:rPr>
            <a:t>Use a </a:t>
          </a:r>
          <a:r>
            <a:rPr lang="en-GB" sz="1200">
              <a:solidFill>
                <a:schemeClr val="accent1"/>
              </a:solidFill>
              <a:latin typeface="+mn-lt"/>
              <a:ea typeface="+mn-ea"/>
              <a:cs typeface="+mn-cs"/>
            </a:rPr>
            <a:t>u</a:t>
          </a:r>
          <a:r>
            <a:rPr lang="en-GB" sz="1200" baseline="0">
              <a:solidFill>
                <a:schemeClr val="dk1"/>
              </a:solidFill>
              <a:latin typeface="+mn-lt"/>
              <a:ea typeface="+mn-ea"/>
              <a:cs typeface="+mn-cs"/>
            </a:rPr>
            <a:t> chart </a:t>
          </a:r>
          <a:r>
            <a:rPr lang="en-GB" sz="1200">
              <a:solidFill>
                <a:schemeClr val="dk1"/>
              </a:solidFill>
              <a:latin typeface="+mn-lt"/>
              <a:ea typeface="+mn-ea"/>
              <a:cs typeface="+mn-cs"/>
            </a:rPr>
            <a:t>to monitor the number of </a:t>
          </a:r>
          <a:r>
            <a:rPr lang="en-GB" sz="1200" baseline="0">
              <a:solidFill>
                <a:schemeClr val="dk1"/>
              </a:solidFill>
              <a:latin typeface="+mn-lt"/>
              <a:ea typeface="+mn-ea"/>
              <a:cs typeface="+mn-cs"/>
            </a:rPr>
            <a:t> defects where you can have </a:t>
          </a:r>
          <a:r>
            <a:rPr lang="en-GB" sz="1200" b="1" baseline="0">
              <a:solidFill>
                <a:schemeClr val="dk1"/>
              </a:solidFill>
              <a:latin typeface="+mn-lt"/>
              <a:ea typeface="+mn-ea"/>
              <a:cs typeface="+mn-cs"/>
            </a:rPr>
            <a:t>multiple defects per unit</a:t>
          </a:r>
          <a:r>
            <a:rPr lang="en-GB" sz="1200" baseline="0">
              <a:solidFill>
                <a:schemeClr val="dk1"/>
              </a:solidFill>
              <a:latin typeface="+mn-lt"/>
              <a:ea typeface="+mn-ea"/>
              <a:cs typeface="+mn-cs"/>
            </a:rPr>
            <a:t>, this differs from the P chart where you are monitoring  the proportion of defective units. An example of this would be counting activities per order where you can have multiple activities per order. It can also be used for events over a  given time period (say calls per hour)</a:t>
          </a:r>
          <a:endParaRPr lang="en-GB" sz="1200">
            <a:latin typeface="+mn-lt"/>
          </a:endParaRPr>
        </a:p>
        <a:p>
          <a:endParaRPr lang="en-GB" sz="1200">
            <a:solidFill>
              <a:schemeClr val="dk1"/>
            </a:solidFill>
            <a:latin typeface="+mn-lt"/>
            <a:ea typeface="+mn-ea"/>
            <a:cs typeface="+mn-cs"/>
          </a:endParaRPr>
        </a:p>
        <a:p>
          <a:r>
            <a:rPr lang="en-GB" sz="1200" b="1" baseline="0">
              <a:latin typeface="+mn-lt"/>
            </a:rPr>
            <a:t>Assumptions:</a:t>
          </a:r>
        </a:p>
        <a:p>
          <a:pPr rtl="0"/>
          <a:r>
            <a:rPr lang="en-GB" sz="1200">
              <a:latin typeface="+mn-lt"/>
            </a:rPr>
            <a:t>- The number of opportunities or potential locations for events/non-conformities is very large</a:t>
          </a:r>
        </a:p>
        <a:p>
          <a:pPr rtl="0"/>
          <a:r>
            <a:rPr lang="en-GB" sz="1200">
              <a:latin typeface="+mn-lt"/>
            </a:rPr>
            <a:t>- The probability of</a:t>
          </a:r>
          <a:r>
            <a:rPr lang="en-GB" sz="1200" baseline="0">
              <a:latin typeface="+mn-lt"/>
            </a:rPr>
            <a:t> defects</a:t>
          </a:r>
          <a:r>
            <a:rPr lang="en-GB" sz="1200">
              <a:latin typeface="+mn-lt"/>
            </a:rPr>
            <a:t> at any site in study is small and constant</a:t>
          </a:r>
        </a:p>
        <a:p>
          <a:pPr rtl="0"/>
          <a:r>
            <a:rPr lang="en-GB" sz="1200">
              <a:latin typeface="+mn-lt"/>
            </a:rPr>
            <a:t>- The </a:t>
          </a:r>
          <a:r>
            <a:rPr lang="en-GB" sz="1200" baseline="0">
              <a:latin typeface="+mn-lt"/>
            </a:rPr>
            <a:t>measurement</a:t>
          </a:r>
          <a:r>
            <a:rPr lang="en-GB" sz="1200">
              <a:latin typeface="+mn-lt"/>
            </a:rPr>
            <a:t> procedure is the same for all samples and is carried out consistently from sample to sample</a:t>
          </a:r>
        </a:p>
        <a:p>
          <a:r>
            <a:rPr lang="en-GB" sz="1200" baseline="0">
              <a:latin typeface="+mn-lt"/>
            </a:rPr>
            <a:t>-  If the sample size is the same use a C chart instead. </a:t>
          </a:r>
          <a:endParaRPr lang="en-GB" sz="1200" b="0" baseline="0">
            <a:latin typeface="+mn-lt"/>
          </a:endParaRPr>
        </a:p>
        <a:p>
          <a:endParaRPr lang="en-GB" sz="1200" baseline="0">
            <a:latin typeface="+mn-lt"/>
          </a:endParaRPr>
        </a:p>
        <a:p>
          <a:r>
            <a:rPr lang="en-GB" sz="1200" b="1" baseline="0">
              <a:latin typeface="+mn-lt"/>
            </a:rPr>
            <a:t>Tips.</a:t>
          </a:r>
        </a:p>
        <a:p>
          <a:r>
            <a:rPr lang="en-GB" sz="1200" b="1">
              <a:latin typeface="+mn-lt"/>
            </a:rPr>
            <a:t>Collect as much data as possible before calculating control limits.</a:t>
          </a:r>
          <a:r>
            <a:rPr lang="en-GB" sz="1200">
              <a:latin typeface="+mn-lt"/>
            </a:rPr>
            <a:t>  The more subgroups you use in control limit calculations, the more reliable the analysis will be. Typically, 20 to 25 subgroups will be used in control limit calculations, </a:t>
          </a:r>
          <a:r>
            <a:rPr lang="en-GB" sz="1200" baseline="0">
              <a:latin typeface="+mn-lt"/>
            </a:rPr>
            <a:t> due to this you really want to increase the frequency of the data , weekly data  will require 6 months  data to produce control limits, hourly data takes a day!  The worksheet is set-up for 100 data-points.</a:t>
          </a:r>
        </a:p>
        <a:p>
          <a:endParaRPr lang="en-GB" sz="1200" baseline="0">
            <a:latin typeface="+mn-lt"/>
          </a:endParaRPr>
        </a:p>
        <a:p>
          <a:r>
            <a:rPr lang="en-GB" sz="1200" b="1" baseline="0">
              <a:latin typeface="+mn-lt"/>
            </a:rPr>
            <a:t>The Maths...</a:t>
          </a:r>
        </a:p>
        <a:p>
          <a:r>
            <a:rPr lang="en-GB" sz="1200">
              <a:latin typeface="+mn-lt"/>
            </a:rPr>
            <a:t>The Upper Control</a:t>
          </a:r>
          <a:r>
            <a:rPr lang="en-GB" sz="1200" baseline="0">
              <a:latin typeface="+mn-lt"/>
            </a:rPr>
            <a:t> Limit (UCL) and Lower Control Limit (LCL) = mean  +/- 3 x sqrt(mean/sample size)</a:t>
          </a:r>
        </a:p>
        <a:p>
          <a:r>
            <a:rPr lang="en-GB" sz="1200" baseline="0">
              <a:latin typeface="+mn-lt"/>
            </a:rPr>
            <a:t>If the number in the sample varies for each observation then there are two approaches commonly used.</a:t>
          </a:r>
        </a:p>
        <a:p>
          <a:r>
            <a:rPr lang="en-GB" sz="1200" baseline="0">
              <a:latin typeface="+mn-lt"/>
            </a:rPr>
            <a:t>1) Use the average number  of observations.</a:t>
          </a:r>
        </a:p>
        <a:p>
          <a:r>
            <a:rPr lang="en-GB" sz="1200" baseline="0">
              <a:latin typeface="+mn-lt"/>
            </a:rPr>
            <a:t>2) Manually estimate the UCL/LCL based on the sample size for the  observation in question.</a:t>
          </a:r>
        </a:p>
        <a:p>
          <a:endParaRPr lang="en-GB" sz="1200" baseline="0">
            <a:latin typeface="+mn-lt"/>
          </a:endParaRPr>
        </a:p>
        <a:p>
          <a:r>
            <a:rPr lang="en-GB" sz="1200" b="1" baseline="0">
              <a:latin typeface="+mn-lt"/>
            </a:rPr>
            <a:t>If you want to reset manually the control limit after an implemented change, you will need to manually recalculate the control limits and other measures of the graphs.  If in doubt speak with your coach.</a:t>
          </a:r>
          <a:endParaRPr lang="en-GB" sz="1200" b="1">
            <a:latin typeface="+mn-lt"/>
          </a:endParaRPr>
        </a:p>
      </xdr:txBody>
    </xdr:sp>
    <xdr:clientData/>
  </xdr:twoCellAnchor>
  <xdr:twoCellAnchor editAs="oneCell">
    <xdr:from>
      <xdr:col>14</xdr:col>
      <xdr:colOff>504265</xdr:colOff>
      <xdr:row>36</xdr:row>
      <xdr:rowOff>124945</xdr:rowOff>
    </xdr:from>
    <xdr:to>
      <xdr:col>15</xdr:col>
      <xdr:colOff>638886</xdr:colOff>
      <xdr:row>38</xdr:row>
      <xdr:rowOff>109071</xdr:rowOff>
    </xdr:to>
    <xdr:pic>
      <xdr:nvPicPr>
        <xdr:cNvPr id="11265" name="Picture 1" descr="\bar u \pm 3\sqrt{\frac{\bar u}{n}}">
          <a:extLst>
            <a:ext uri="{FF2B5EF4-FFF2-40B4-BE49-F238E27FC236}">
              <a16:creationId xmlns:a16="http://schemas.microsoft.com/office/drawing/2014/main" id="{00000000-0008-0000-1D00-0000012C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9693089" y="7789769"/>
          <a:ext cx="717326" cy="387537"/>
        </a:xfrm>
        <a:prstGeom prst="rect">
          <a:avLst/>
        </a:prstGeom>
        <a:noFill/>
      </xdr:spPr>
    </xdr:pic>
    <xdr:clientData/>
  </xdr:twoCellAnchor>
  <xdr:twoCellAnchor>
    <xdr:from>
      <xdr:col>0</xdr:col>
      <xdr:colOff>815340</xdr:colOff>
      <xdr:row>1</xdr:row>
      <xdr:rowOff>0</xdr:rowOff>
    </xdr:from>
    <xdr:to>
      <xdr:col>3</xdr:col>
      <xdr:colOff>87902</xdr:colOff>
      <xdr:row>21</xdr:row>
      <xdr:rowOff>9525</xdr:rowOff>
    </xdr:to>
    <xdr:sp macro="" textlink="">
      <xdr:nvSpPr>
        <xdr:cNvPr id="5" name="Rectangle 4">
          <a:extLst>
            <a:ext uri="{FF2B5EF4-FFF2-40B4-BE49-F238E27FC236}">
              <a16:creationId xmlns:a16="http://schemas.microsoft.com/office/drawing/2014/main" id="{00000000-0008-0000-1D00-000005000000}"/>
            </a:ext>
          </a:extLst>
        </xdr:cNvPr>
        <xdr:cNvSpPr/>
      </xdr:nvSpPr>
      <xdr:spPr>
        <a:xfrm>
          <a:off x="815340" y="426720"/>
          <a:ext cx="1992902" cy="4581525"/>
        </a:xfrm>
        <a:prstGeom prst="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GB" sz="1100"/>
        </a:p>
      </xdr:txBody>
    </xdr:sp>
    <xdr:clientData/>
  </xdr:twoCellAnchor>
  <xdr:twoCellAnchor>
    <xdr:from>
      <xdr:col>4</xdr:col>
      <xdr:colOff>56876</xdr:colOff>
      <xdr:row>14</xdr:row>
      <xdr:rowOff>1040</xdr:rowOff>
    </xdr:from>
    <xdr:to>
      <xdr:col>7</xdr:col>
      <xdr:colOff>291352</xdr:colOff>
      <xdr:row>20</xdr:row>
      <xdr:rowOff>89647</xdr:rowOff>
    </xdr:to>
    <xdr:sp macro="" textlink="">
      <xdr:nvSpPr>
        <xdr:cNvPr id="6" name="Line Callout 1 (Accent Bar) 11">
          <a:extLst>
            <a:ext uri="{FF2B5EF4-FFF2-40B4-BE49-F238E27FC236}">
              <a16:creationId xmlns:a16="http://schemas.microsoft.com/office/drawing/2014/main" id="{00000000-0008-0000-1D00-000006000000}"/>
            </a:ext>
          </a:extLst>
        </xdr:cNvPr>
        <xdr:cNvSpPr/>
      </xdr:nvSpPr>
      <xdr:spPr>
        <a:xfrm>
          <a:off x="3418641" y="3228334"/>
          <a:ext cx="1982593" cy="1298842"/>
        </a:xfrm>
        <a:prstGeom prst="accentCallout1">
          <a:avLst>
            <a:gd name="adj1" fmla="val 18750"/>
            <a:gd name="adj2" fmla="val -8333"/>
            <a:gd name="adj3" fmla="val -23360"/>
            <a:gd name="adj4" fmla="val -43014"/>
          </a:avLst>
        </a:prstGeom>
        <a:solidFill>
          <a:schemeClr val="bg1"/>
        </a:solid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l"/>
          <a:r>
            <a:rPr lang="en-GB" sz="1200" b="1">
              <a:solidFill>
                <a:srgbClr val="7030A0"/>
              </a:solidFill>
              <a:latin typeface="+mn-lt"/>
            </a:rPr>
            <a:t>Step 1</a:t>
          </a:r>
          <a:endParaRPr lang="en-GB" sz="1200" b="0">
            <a:solidFill>
              <a:srgbClr val="7030A0"/>
            </a:solidFill>
            <a:latin typeface="+mn-lt"/>
          </a:endParaRPr>
        </a:p>
        <a:p>
          <a:pPr algn="l"/>
          <a:r>
            <a:rPr lang="en-GB" sz="1200" b="0">
              <a:solidFill>
                <a:srgbClr val="7030A0"/>
              </a:solidFill>
              <a:latin typeface="+mn-lt"/>
            </a:rPr>
            <a:t>Enter your data in column B &amp; C.</a:t>
          </a:r>
        </a:p>
        <a:p>
          <a:pPr algn="l"/>
          <a:r>
            <a:rPr lang="en-GB" sz="1200" b="0">
              <a:solidFill>
                <a:srgbClr val="7030A0"/>
              </a:solidFill>
              <a:latin typeface="+mn-lt"/>
            </a:rPr>
            <a:t>If you want to show your date/period, copy it in column </a:t>
          </a:r>
          <a:r>
            <a:rPr lang="en-GB" sz="1200" b="0" baseline="0">
              <a:solidFill>
                <a:srgbClr val="7030A0"/>
              </a:solidFill>
              <a:latin typeface="+mn-lt"/>
            </a:rPr>
            <a:t> A (chart will update)</a:t>
          </a:r>
          <a:endParaRPr lang="en-GB" sz="1200" b="0">
            <a:solidFill>
              <a:srgbClr val="7030A0"/>
            </a:solidFill>
            <a:latin typeface="+mn-lt"/>
          </a:endParaRPr>
        </a:p>
      </xdr:txBody>
    </xdr:sp>
    <xdr:clientData/>
  </xdr:twoCellAnchor>
  <xdr:twoCellAnchor>
    <xdr:from>
      <xdr:col>8</xdr:col>
      <xdr:colOff>76200</xdr:colOff>
      <xdr:row>13</xdr:row>
      <xdr:rowOff>272</xdr:rowOff>
    </xdr:from>
    <xdr:to>
      <xdr:col>15</xdr:col>
      <xdr:colOff>918883</xdr:colOff>
      <xdr:row>20</xdr:row>
      <xdr:rowOff>88900</xdr:rowOff>
    </xdr:to>
    <xdr:sp macro="" textlink="">
      <xdr:nvSpPr>
        <xdr:cNvPr id="7" name="Line Callout 1 (Accent Bar) 7">
          <a:extLst>
            <a:ext uri="{FF2B5EF4-FFF2-40B4-BE49-F238E27FC236}">
              <a16:creationId xmlns:a16="http://schemas.microsoft.com/office/drawing/2014/main" id="{00000000-0008-0000-1D00-000007000000}"/>
            </a:ext>
          </a:extLst>
        </xdr:cNvPr>
        <xdr:cNvSpPr/>
      </xdr:nvSpPr>
      <xdr:spPr>
        <a:xfrm>
          <a:off x="5768788" y="3025860"/>
          <a:ext cx="4921624" cy="1500569"/>
        </a:xfrm>
        <a:prstGeom prst="accentCallout1">
          <a:avLst>
            <a:gd name="adj1" fmla="val 3386"/>
            <a:gd name="adj2" fmla="val -660"/>
            <a:gd name="adj3" fmla="val -9785"/>
            <a:gd name="adj4" fmla="val -10778"/>
          </a:avLst>
        </a:prstGeom>
        <a:solidFill>
          <a:schemeClr val="bg1"/>
        </a:solid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200" b="1">
              <a:solidFill>
                <a:srgbClr val="7030A0"/>
              </a:solidFill>
              <a:latin typeface="+mn-lt"/>
            </a:rPr>
            <a:t>Step 2</a:t>
          </a:r>
        </a:p>
        <a:p>
          <a:pPr algn="l"/>
          <a:r>
            <a:rPr lang="en-GB" sz="1200" b="0">
              <a:solidFill>
                <a:srgbClr val="7030A0"/>
              </a:solidFill>
              <a:latin typeface="+mn-lt"/>
            </a:rPr>
            <a:t>Edit the area for the data taken into account by</a:t>
          </a:r>
          <a:r>
            <a:rPr lang="en-GB" sz="1200" b="0" baseline="0">
              <a:solidFill>
                <a:srgbClr val="7030A0"/>
              </a:solidFill>
              <a:latin typeface="+mn-lt"/>
            </a:rPr>
            <a:t> the graphs as needed.</a:t>
          </a:r>
        </a:p>
        <a:p>
          <a:pPr algn="l"/>
          <a:r>
            <a:rPr lang="en-GB" sz="1200" b="0" baseline="0">
              <a:solidFill>
                <a:srgbClr val="7030A0"/>
              </a:solidFill>
              <a:latin typeface="+mn-lt"/>
            </a:rPr>
            <a:t>- Note the last row with data (e.g. row 69)</a:t>
          </a:r>
        </a:p>
        <a:p>
          <a:pPr algn="l"/>
          <a:r>
            <a:rPr lang="en-GB" sz="1200" b="0" baseline="0">
              <a:solidFill>
                <a:srgbClr val="7030A0"/>
              </a:solidFill>
              <a:latin typeface="+mn-lt"/>
            </a:rPr>
            <a:t>- Right-click in the chart area</a:t>
          </a:r>
        </a:p>
        <a:p>
          <a:pPr algn="l"/>
          <a:r>
            <a:rPr lang="en-GB" sz="1200" b="0" baseline="0">
              <a:solidFill>
                <a:srgbClr val="7030A0"/>
              </a:solidFill>
              <a:latin typeface="+mn-lt"/>
            </a:rPr>
            <a:t>- Pick 'Select data'</a:t>
          </a:r>
        </a:p>
        <a:p>
          <a:pPr algn="l"/>
          <a:r>
            <a:rPr lang="en-GB" sz="1200" b="0" baseline="0">
              <a:solidFill>
                <a:srgbClr val="7030A0"/>
              </a:solidFill>
              <a:latin typeface="+mn-lt"/>
            </a:rPr>
            <a:t>- In the "chart data range" field, change the row number to correspond to your last row with data. </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2</xdr:col>
      <xdr:colOff>295274</xdr:colOff>
      <xdr:row>0</xdr:row>
      <xdr:rowOff>114300</xdr:rowOff>
    </xdr:from>
    <xdr:to>
      <xdr:col>14</xdr:col>
      <xdr:colOff>476249</xdr:colOff>
      <xdr:row>12</xdr:row>
      <xdr:rowOff>161925</xdr:rowOff>
    </xdr:to>
    <xdr:graphicFrame macro="">
      <xdr:nvGraphicFramePr>
        <xdr:cNvPr id="2" name="Chart 1">
          <a:extLst>
            <a:ext uri="{FF2B5EF4-FFF2-40B4-BE49-F238E27FC236}">
              <a16:creationId xmlns:a16="http://schemas.microsoft.com/office/drawing/2014/main" id="{00000000-0008-0000-1E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335280</xdr:colOff>
      <xdr:row>22</xdr:row>
      <xdr:rowOff>93344</xdr:rowOff>
    </xdr:from>
    <xdr:to>
      <xdr:col>14</xdr:col>
      <xdr:colOff>449580</xdr:colOff>
      <xdr:row>45</xdr:row>
      <xdr:rowOff>99060</xdr:rowOff>
    </xdr:to>
    <xdr:sp macro="" textlink="">
      <xdr:nvSpPr>
        <xdr:cNvPr id="4" name="TextBox 3">
          <a:extLst>
            <a:ext uri="{FF2B5EF4-FFF2-40B4-BE49-F238E27FC236}">
              <a16:creationId xmlns:a16="http://schemas.microsoft.com/office/drawing/2014/main" id="{00000000-0008-0000-1E00-000004000000}"/>
            </a:ext>
          </a:extLst>
        </xdr:cNvPr>
        <xdr:cNvSpPr txBox="1"/>
      </xdr:nvSpPr>
      <xdr:spPr>
        <a:xfrm>
          <a:off x="1889760" y="5335904"/>
          <a:ext cx="7429500" cy="5263516"/>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Calibri" panose="020F0502020204030204" pitchFamily="34" charset="0"/>
              <a:ea typeface="+mn-ea"/>
              <a:cs typeface="Calibri" panose="020F0502020204030204" pitchFamily="34" charset="0"/>
            </a:rPr>
            <a:t>Use  a </a:t>
          </a:r>
          <a:r>
            <a:rPr lang="en-GB" sz="1100">
              <a:solidFill>
                <a:schemeClr val="accent1"/>
              </a:solidFill>
              <a:latin typeface="Calibri" panose="020F0502020204030204" pitchFamily="34" charset="0"/>
              <a:ea typeface="+mn-ea"/>
              <a:cs typeface="Calibri" panose="020F0502020204030204" pitchFamily="34" charset="0"/>
            </a:rPr>
            <a:t>C</a:t>
          </a:r>
          <a:r>
            <a:rPr lang="en-GB" sz="1100" baseline="0">
              <a:solidFill>
                <a:schemeClr val="dk1"/>
              </a:solidFill>
              <a:latin typeface="Calibri" panose="020F0502020204030204" pitchFamily="34" charset="0"/>
              <a:ea typeface="+mn-ea"/>
              <a:cs typeface="Calibri" panose="020F0502020204030204" pitchFamily="34" charset="0"/>
            </a:rPr>
            <a:t>ount chart </a:t>
          </a:r>
          <a:r>
            <a:rPr lang="en-GB" sz="1100">
              <a:solidFill>
                <a:schemeClr val="dk1"/>
              </a:solidFill>
              <a:latin typeface="Calibri" panose="020F0502020204030204" pitchFamily="34" charset="0"/>
              <a:ea typeface="+mn-ea"/>
              <a:cs typeface="Calibri" panose="020F0502020204030204" pitchFamily="34" charset="0"/>
            </a:rPr>
            <a:t>to monitor the number of </a:t>
          </a:r>
          <a:r>
            <a:rPr lang="en-GB" sz="1100" baseline="0">
              <a:solidFill>
                <a:schemeClr val="dk1"/>
              </a:solidFill>
              <a:latin typeface="Calibri" panose="020F0502020204030204" pitchFamily="34" charset="0"/>
              <a:ea typeface="+mn-ea"/>
              <a:cs typeface="Calibri" panose="020F0502020204030204" pitchFamily="34" charset="0"/>
            </a:rPr>
            <a:t> defects where you can have </a:t>
          </a:r>
          <a:r>
            <a:rPr lang="en-GB" sz="1100" b="1" baseline="0">
              <a:solidFill>
                <a:schemeClr val="dk1"/>
              </a:solidFill>
              <a:latin typeface="Calibri" panose="020F0502020204030204" pitchFamily="34" charset="0"/>
              <a:ea typeface="+mn-ea"/>
              <a:cs typeface="Calibri" panose="020F0502020204030204" pitchFamily="34" charset="0"/>
            </a:rPr>
            <a:t>multiple defects per unit</a:t>
          </a:r>
          <a:r>
            <a:rPr lang="en-GB" sz="1100" baseline="0">
              <a:solidFill>
                <a:schemeClr val="dk1"/>
              </a:solidFill>
              <a:latin typeface="Calibri" panose="020F0502020204030204" pitchFamily="34" charset="0"/>
              <a:ea typeface="+mn-ea"/>
              <a:cs typeface="Calibri" panose="020F0502020204030204" pitchFamily="34" charset="0"/>
            </a:rPr>
            <a:t>, this differs from the P chart where you are monitoring  the proportion of defective units. An example of this would be counting activities per order where you can have multiple activities per order. It can also be used for events over a  given time period (say calls per hour)</a:t>
          </a:r>
          <a:endParaRPr lang="en-GB" sz="1100">
            <a:latin typeface="Calibri" panose="020F0502020204030204" pitchFamily="34" charset="0"/>
            <a:cs typeface="Calibri" panose="020F0502020204030204" pitchFamily="34" charset="0"/>
          </a:endParaRPr>
        </a:p>
        <a:p>
          <a:endParaRPr lang="en-GB" sz="1100" baseline="0">
            <a:latin typeface="Calibri" panose="020F0502020204030204" pitchFamily="34" charset="0"/>
            <a:cs typeface="Calibri" panose="020F0502020204030204" pitchFamily="34" charset="0"/>
          </a:endParaRPr>
        </a:p>
        <a:p>
          <a:r>
            <a:rPr lang="en-GB" sz="1100" b="1" baseline="0">
              <a:latin typeface="Calibri" panose="020F0502020204030204" pitchFamily="34" charset="0"/>
              <a:cs typeface="Calibri" panose="020F0502020204030204" pitchFamily="34" charset="0"/>
            </a:rPr>
            <a:t>Assumptions:</a:t>
          </a:r>
        </a:p>
        <a:p>
          <a:pPr rtl="0"/>
          <a:r>
            <a:rPr lang="en-GB" sz="1100">
              <a:latin typeface="Calibri" panose="020F0502020204030204" pitchFamily="34" charset="0"/>
              <a:cs typeface="Calibri" panose="020F0502020204030204" pitchFamily="34" charset="0"/>
            </a:rPr>
            <a:t>- The number of opportunities or potential locations for events/nonconformities is very large</a:t>
          </a:r>
        </a:p>
        <a:p>
          <a:pPr rtl="0"/>
          <a:r>
            <a:rPr lang="en-GB" sz="1100">
              <a:latin typeface="Calibri" panose="020F0502020204030204" pitchFamily="34" charset="0"/>
              <a:cs typeface="Calibri" panose="020F0502020204030204" pitchFamily="34" charset="0"/>
            </a:rPr>
            <a:t>- The probability of nonconformity at any location is small and constant this is a bit manufacturing biased, a service example would be the probability for failure is small and constant.</a:t>
          </a:r>
        </a:p>
        <a:p>
          <a:pPr rtl="0"/>
          <a:r>
            <a:rPr lang="en-GB" sz="1100">
              <a:latin typeface="Calibri" panose="020F0502020204030204" pitchFamily="34" charset="0"/>
              <a:cs typeface="Calibri" panose="020F0502020204030204" pitchFamily="34" charset="0"/>
            </a:rPr>
            <a:t>- The </a:t>
          </a:r>
          <a:r>
            <a:rPr lang="en-GB" sz="1100" baseline="0">
              <a:latin typeface="Calibri" panose="020F0502020204030204" pitchFamily="34" charset="0"/>
              <a:cs typeface="Calibri" panose="020F0502020204030204" pitchFamily="34" charset="0"/>
            </a:rPr>
            <a:t> measurement</a:t>
          </a:r>
          <a:r>
            <a:rPr lang="en-GB" sz="1100">
              <a:latin typeface="Calibri" panose="020F0502020204030204" pitchFamily="34" charset="0"/>
              <a:cs typeface="Calibri" panose="020F0502020204030204" pitchFamily="34" charset="0"/>
            </a:rPr>
            <a:t> procedure is same for each sample and is carried out consistently from sample to sample</a:t>
          </a:r>
        </a:p>
        <a:p>
          <a:r>
            <a:rPr lang="en-GB" sz="1100" baseline="0">
              <a:latin typeface="Calibri" panose="020F0502020204030204" pitchFamily="34" charset="0"/>
              <a:cs typeface="Calibri" panose="020F0502020204030204" pitchFamily="34" charset="0"/>
            </a:rPr>
            <a:t>- </a:t>
          </a:r>
          <a:r>
            <a:rPr lang="en-GB" sz="1100" b="1" baseline="0">
              <a:latin typeface="Calibri" panose="020F0502020204030204" pitchFamily="34" charset="0"/>
              <a:cs typeface="Calibri" panose="020F0502020204030204" pitchFamily="34" charset="0"/>
            </a:rPr>
            <a:t>Each sample is the same size </a:t>
          </a:r>
          <a:r>
            <a:rPr lang="en-GB" sz="1100" b="0" baseline="0">
              <a:latin typeface="Calibri" panose="020F0502020204030204" pitchFamily="34" charset="0"/>
              <a:cs typeface="Calibri" panose="020F0502020204030204" pitchFamily="34" charset="0"/>
            </a:rPr>
            <a:t>- if this isn't the case, use a U chart</a:t>
          </a:r>
        </a:p>
        <a:p>
          <a:endParaRPr lang="en-GB" sz="1100" baseline="0">
            <a:latin typeface="Calibri" panose="020F0502020204030204" pitchFamily="34" charset="0"/>
            <a:cs typeface="Calibri" panose="020F0502020204030204" pitchFamily="34" charset="0"/>
          </a:endParaRPr>
        </a:p>
        <a:p>
          <a:r>
            <a:rPr lang="en-GB" sz="1100" b="1" baseline="0">
              <a:latin typeface="Calibri" panose="020F0502020204030204" pitchFamily="34" charset="0"/>
              <a:cs typeface="Calibri" panose="020F0502020204030204" pitchFamily="34" charset="0"/>
            </a:rPr>
            <a:t>Tips.</a:t>
          </a:r>
        </a:p>
        <a:p>
          <a:r>
            <a:rPr lang="en-GB" sz="1100" b="1">
              <a:latin typeface="Calibri" panose="020F0502020204030204" pitchFamily="34" charset="0"/>
              <a:cs typeface="Calibri" panose="020F0502020204030204" pitchFamily="34" charset="0"/>
            </a:rPr>
            <a:t>Collect as much data as possible before calculating control limits.</a:t>
          </a:r>
          <a:r>
            <a:rPr lang="en-GB" sz="1100">
              <a:latin typeface="Calibri" panose="020F0502020204030204" pitchFamily="34" charset="0"/>
              <a:cs typeface="Calibri" panose="020F0502020204030204" pitchFamily="34" charset="0"/>
            </a:rPr>
            <a:t>  The more subgroups you use in control limit calculations, the more reliable the analysis will be. Typically, 20 to 25 subgroups will be used in control limit calculations, </a:t>
          </a:r>
          <a:r>
            <a:rPr lang="en-GB" sz="1100" baseline="0">
              <a:latin typeface="Calibri" panose="020F0502020204030204" pitchFamily="34" charset="0"/>
              <a:cs typeface="Calibri" panose="020F0502020204030204" pitchFamily="34" charset="0"/>
            </a:rPr>
            <a:t> due to this you really want to increase the frequency of the data , weekly data  will require 6 months  data to produce control limits, hourly data takes a day!  The worksheet is set-up for up to 100 data-points.</a:t>
          </a:r>
        </a:p>
        <a:p>
          <a:endParaRPr lang="en-GB" sz="1100">
            <a:latin typeface="Calibri" panose="020F0502020204030204" pitchFamily="34" charset="0"/>
            <a:cs typeface="Calibri" panose="020F0502020204030204" pitchFamily="34" charset="0"/>
          </a:endParaRPr>
        </a:p>
        <a:p>
          <a:r>
            <a:rPr lang="en-GB" sz="1100" b="1" baseline="0">
              <a:latin typeface="Calibri" panose="020F0502020204030204" pitchFamily="34" charset="0"/>
              <a:cs typeface="Calibri" panose="020F0502020204030204" pitchFamily="34" charset="0"/>
            </a:rPr>
            <a:t>The Maths...</a:t>
          </a:r>
        </a:p>
        <a:p>
          <a:endParaRPr lang="en-GB" sz="1100" b="1">
            <a:latin typeface="Calibri" panose="020F0502020204030204" pitchFamily="34" charset="0"/>
            <a:cs typeface="Calibri" panose="020F0502020204030204" pitchFamily="34" charset="0"/>
          </a:endParaRPr>
        </a:p>
        <a:p>
          <a:r>
            <a:rPr lang="en-GB" sz="1100">
              <a:latin typeface="Calibri" panose="020F0502020204030204" pitchFamily="34" charset="0"/>
              <a:cs typeface="Calibri" panose="020F0502020204030204" pitchFamily="34" charset="0"/>
            </a:rPr>
            <a:t>The Upper Control</a:t>
          </a:r>
          <a:r>
            <a:rPr lang="en-GB" sz="1100" baseline="0">
              <a:latin typeface="Calibri" panose="020F0502020204030204" pitchFamily="34" charset="0"/>
              <a:cs typeface="Calibri" panose="020F0502020204030204" pitchFamily="34" charset="0"/>
            </a:rPr>
            <a:t> Limit (UCL) and Lower Control Limit (LCL) = mean  +/- 3 x sqrt(mean)</a:t>
          </a:r>
        </a:p>
        <a:p>
          <a:r>
            <a:rPr lang="en-GB" sz="1100" baseline="0">
              <a:latin typeface="Calibri" panose="020F0502020204030204" pitchFamily="34" charset="0"/>
              <a:cs typeface="Calibri" panose="020F0502020204030204" pitchFamily="34" charset="0"/>
            </a:rPr>
            <a:t>If the number in the sample varies for each observation then there are two approaches commonly used.</a:t>
          </a:r>
        </a:p>
        <a:p>
          <a:r>
            <a:rPr lang="en-GB" sz="1100" baseline="0">
              <a:latin typeface="Calibri" panose="020F0502020204030204" pitchFamily="34" charset="0"/>
              <a:cs typeface="Calibri" panose="020F0502020204030204" pitchFamily="34" charset="0"/>
            </a:rPr>
            <a:t>1) use the average number  of observations .</a:t>
          </a:r>
        </a:p>
        <a:p>
          <a:r>
            <a:rPr lang="en-GB" sz="1100" baseline="0">
              <a:latin typeface="Calibri" panose="020F0502020204030204" pitchFamily="34" charset="0"/>
              <a:cs typeface="Calibri" panose="020F0502020204030204" pitchFamily="34" charset="0"/>
            </a:rPr>
            <a:t>2) vary the  UCL/LCL based on the sample size for the  observation in question.</a:t>
          </a:r>
        </a:p>
        <a:p>
          <a:endParaRPr lang="en-GB" sz="1100" baseline="0">
            <a:latin typeface="Calibri" panose="020F0502020204030204" pitchFamily="34" charset="0"/>
            <a:cs typeface="Calibri" panose="020F050202020403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baseline="0">
              <a:solidFill>
                <a:schemeClr val="dk1"/>
              </a:solidFill>
              <a:effectLst/>
              <a:latin typeface="Calibri" panose="020F0502020204030204" pitchFamily="34" charset="0"/>
              <a:ea typeface="+mn-ea"/>
              <a:cs typeface="Calibri" panose="020F0502020204030204" pitchFamily="34" charset="0"/>
            </a:rPr>
            <a:t>If you want to reset manually the control limit after an implemented change, you will need to manually recalculate the control limits and other measures of the graphs.  If in doubt speak with your coach.</a:t>
          </a:r>
          <a:endParaRPr lang="en-GB" sz="1100">
            <a:effectLst/>
            <a:latin typeface="Calibri" panose="020F0502020204030204" pitchFamily="34" charset="0"/>
            <a:cs typeface="Calibri" panose="020F0502020204030204" pitchFamily="34" charset="0"/>
          </a:endParaRPr>
        </a:p>
        <a:p>
          <a:endParaRPr lang="en-GB" sz="1100">
            <a:latin typeface="Calibri" panose="020F0502020204030204" pitchFamily="34" charset="0"/>
            <a:cs typeface="Calibri" panose="020F0502020204030204" pitchFamily="34" charset="0"/>
          </a:endParaRPr>
        </a:p>
      </xdr:txBody>
    </xdr:sp>
    <xdr:clientData/>
  </xdr:twoCellAnchor>
  <xdr:twoCellAnchor editAs="oneCell">
    <xdr:from>
      <xdr:col>12</xdr:col>
      <xdr:colOff>95250</xdr:colOff>
      <xdr:row>32</xdr:row>
      <xdr:rowOff>28575</xdr:rowOff>
    </xdr:from>
    <xdr:to>
      <xdr:col>13</xdr:col>
      <xdr:colOff>134620</xdr:colOff>
      <xdr:row>32</xdr:row>
      <xdr:rowOff>192405</xdr:rowOff>
    </xdr:to>
    <xdr:pic>
      <xdr:nvPicPr>
        <xdr:cNvPr id="10241" name="Picture 1" descr="\bar c \pm 3\sqrt{\bar c}">
          <a:extLst>
            <a:ext uri="{FF2B5EF4-FFF2-40B4-BE49-F238E27FC236}">
              <a16:creationId xmlns:a16="http://schemas.microsoft.com/office/drawing/2014/main" id="{00000000-0008-0000-1E00-00000128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9525000" y="6534150"/>
          <a:ext cx="647700" cy="209550"/>
        </a:xfrm>
        <a:prstGeom prst="rect">
          <a:avLst/>
        </a:prstGeom>
        <a:noFill/>
      </xdr:spPr>
    </xdr:pic>
    <xdr:clientData/>
  </xdr:twoCellAnchor>
  <xdr:twoCellAnchor>
    <xdr:from>
      <xdr:col>4</xdr:col>
      <xdr:colOff>0</xdr:colOff>
      <xdr:row>14</xdr:row>
      <xdr:rowOff>126274</xdr:rowOff>
    </xdr:from>
    <xdr:to>
      <xdr:col>7</xdr:col>
      <xdr:colOff>214449</xdr:colOff>
      <xdr:row>19</xdr:row>
      <xdr:rowOff>22860</xdr:rowOff>
    </xdr:to>
    <xdr:sp macro="" textlink="">
      <xdr:nvSpPr>
        <xdr:cNvPr id="5" name="Line Callout 1 (Accent Bar) 11">
          <a:extLst>
            <a:ext uri="{FF2B5EF4-FFF2-40B4-BE49-F238E27FC236}">
              <a16:creationId xmlns:a16="http://schemas.microsoft.com/office/drawing/2014/main" id="{00000000-0008-0000-1E00-000005000000}"/>
            </a:ext>
          </a:extLst>
        </xdr:cNvPr>
        <xdr:cNvSpPr/>
      </xdr:nvSpPr>
      <xdr:spPr>
        <a:xfrm>
          <a:off x="2773680" y="3540034"/>
          <a:ext cx="2043249" cy="1039586"/>
        </a:xfrm>
        <a:prstGeom prst="accentCallout1">
          <a:avLst>
            <a:gd name="adj1" fmla="val 18750"/>
            <a:gd name="adj2" fmla="val -8333"/>
            <a:gd name="adj3" fmla="val -66877"/>
            <a:gd name="adj4" fmla="val -58677"/>
          </a:avLst>
        </a:prstGeom>
        <a:solidFill>
          <a:schemeClr val="bg1"/>
        </a:solid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t"/>
        <a:lstStyle/>
        <a:p>
          <a:pPr algn="l"/>
          <a:r>
            <a:rPr lang="en-GB" sz="1100" b="1">
              <a:solidFill>
                <a:srgbClr val="7030A0"/>
              </a:solidFill>
              <a:latin typeface="Calibri" panose="020F0502020204030204" pitchFamily="34" charset="0"/>
              <a:cs typeface="Calibri" panose="020F0502020204030204" pitchFamily="34" charset="0"/>
            </a:rPr>
            <a:t>Step 1</a:t>
          </a:r>
        </a:p>
        <a:p>
          <a:r>
            <a:rPr lang="en-GB" sz="1100" b="0">
              <a:solidFill>
                <a:srgbClr val="7030A0"/>
              </a:solidFill>
              <a:effectLst/>
              <a:latin typeface="Calibri" panose="020F0502020204030204" pitchFamily="34" charset="0"/>
              <a:ea typeface="+mn-ea"/>
              <a:cs typeface="Calibri" panose="020F0502020204030204" pitchFamily="34" charset="0"/>
            </a:rPr>
            <a:t>Enter your data in column B.</a:t>
          </a:r>
          <a:endParaRPr lang="en-GB" sz="1100">
            <a:solidFill>
              <a:srgbClr val="7030A0"/>
            </a:solidFill>
            <a:effectLst/>
            <a:latin typeface="Calibri" panose="020F0502020204030204" pitchFamily="34" charset="0"/>
            <a:cs typeface="Calibri" panose="020F0502020204030204" pitchFamily="34" charset="0"/>
          </a:endParaRPr>
        </a:p>
        <a:p>
          <a:r>
            <a:rPr lang="en-GB" sz="1100" b="0">
              <a:solidFill>
                <a:srgbClr val="7030A0"/>
              </a:solidFill>
              <a:effectLst/>
              <a:latin typeface="Calibri" panose="020F0502020204030204" pitchFamily="34" charset="0"/>
              <a:ea typeface="+mn-ea"/>
              <a:cs typeface="Calibri" panose="020F0502020204030204" pitchFamily="34" charset="0"/>
            </a:rPr>
            <a:t>If you want to show your date/period, copy it in column A</a:t>
          </a:r>
          <a:endParaRPr lang="en-GB" sz="1100">
            <a:solidFill>
              <a:srgbClr val="7030A0"/>
            </a:solidFill>
            <a:effectLst/>
            <a:latin typeface="Calibri" panose="020F0502020204030204" pitchFamily="34" charset="0"/>
            <a:cs typeface="Calibri" panose="020F0502020204030204" pitchFamily="34" charset="0"/>
          </a:endParaRPr>
        </a:p>
      </xdr:txBody>
    </xdr:sp>
    <xdr:clientData/>
  </xdr:twoCellAnchor>
  <xdr:twoCellAnchor>
    <xdr:from>
      <xdr:col>8</xdr:col>
      <xdr:colOff>486047</xdr:colOff>
      <xdr:row>14</xdr:row>
      <xdr:rowOff>0</xdr:rowOff>
    </xdr:from>
    <xdr:to>
      <xdr:col>14</xdr:col>
      <xdr:colOff>482781</xdr:colOff>
      <xdr:row>21</xdr:row>
      <xdr:rowOff>22588</xdr:rowOff>
    </xdr:to>
    <xdr:sp macro="" textlink="">
      <xdr:nvSpPr>
        <xdr:cNvPr id="6" name="Line Callout 1 (Accent Bar) 7">
          <a:extLst>
            <a:ext uri="{FF2B5EF4-FFF2-40B4-BE49-F238E27FC236}">
              <a16:creationId xmlns:a16="http://schemas.microsoft.com/office/drawing/2014/main" id="{00000000-0008-0000-1E00-000006000000}"/>
            </a:ext>
          </a:extLst>
        </xdr:cNvPr>
        <xdr:cNvSpPr/>
      </xdr:nvSpPr>
      <xdr:spPr>
        <a:xfrm>
          <a:off x="5698127" y="3413760"/>
          <a:ext cx="3654334" cy="1622788"/>
        </a:xfrm>
        <a:prstGeom prst="accentCallout1">
          <a:avLst>
            <a:gd name="adj1" fmla="val 3386"/>
            <a:gd name="adj2" fmla="val -660"/>
            <a:gd name="adj3" fmla="val -9785"/>
            <a:gd name="adj4" fmla="val -10778"/>
          </a:avLst>
        </a:prstGeom>
        <a:solidFill>
          <a:schemeClr val="bg1"/>
        </a:solid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b="1">
              <a:solidFill>
                <a:srgbClr val="7030A0"/>
              </a:solidFill>
              <a:latin typeface="Calibri" panose="020F0502020204030204" pitchFamily="34" charset="0"/>
              <a:cs typeface="Calibri" panose="020F0502020204030204" pitchFamily="34" charset="0"/>
            </a:rPr>
            <a:t>Step 2</a:t>
          </a:r>
        </a:p>
        <a:p>
          <a:pPr algn="l"/>
          <a:r>
            <a:rPr lang="en-GB" sz="1100" b="0">
              <a:solidFill>
                <a:srgbClr val="7030A0"/>
              </a:solidFill>
              <a:latin typeface="Calibri" panose="020F0502020204030204" pitchFamily="34" charset="0"/>
              <a:cs typeface="Calibri" panose="020F0502020204030204" pitchFamily="34" charset="0"/>
            </a:rPr>
            <a:t>Edit the area for the data taken into account by</a:t>
          </a:r>
          <a:r>
            <a:rPr lang="en-GB" sz="1100" b="0" baseline="0">
              <a:solidFill>
                <a:srgbClr val="7030A0"/>
              </a:solidFill>
              <a:latin typeface="Calibri" panose="020F0502020204030204" pitchFamily="34" charset="0"/>
              <a:cs typeface="Calibri" panose="020F0502020204030204" pitchFamily="34" charset="0"/>
            </a:rPr>
            <a:t> the graphs as needed.</a:t>
          </a:r>
        </a:p>
        <a:p>
          <a:pPr algn="l"/>
          <a:r>
            <a:rPr lang="en-GB" sz="1100" b="0" baseline="0">
              <a:solidFill>
                <a:srgbClr val="7030A0"/>
              </a:solidFill>
              <a:latin typeface="Calibri" panose="020F0502020204030204" pitchFamily="34" charset="0"/>
              <a:cs typeface="Calibri" panose="020F0502020204030204" pitchFamily="34" charset="0"/>
            </a:rPr>
            <a:t>- Note the last row with data (e.g. row 501)</a:t>
          </a:r>
        </a:p>
        <a:p>
          <a:pPr algn="l"/>
          <a:r>
            <a:rPr lang="en-GB" sz="1100" b="0" baseline="0">
              <a:solidFill>
                <a:srgbClr val="7030A0"/>
              </a:solidFill>
              <a:latin typeface="Calibri" panose="020F0502020204030204" pitchFamily="34" charset="0"/>
              <a:cs typeface="Calibri" panose="020F0502020204030204" pitchFamily="34" charset="0"/>
            </a:rPr>
            <a:t>- Right-click in the chart area</a:t>
          </a:r>
        </a:p>
        <a:p>
          <a:pPr algn="l"/>
          <a:r>
            <a:rPr lang="en-GB" sz="1100" b="0" baseline="0">
              <a:solidFill>
                <a:srgbClr val="7030A0"/>
              </a:solidFill>
              <a:latin typeface="Calibri" panose="020F0502020204030204" pitchFamily="34" charset="0"/>
              <a:cs typeface="Calibri" panose="020F0502020204030204" pitchFamily="34" charset="0"/>
            </a:rPr>
            <a:t>- Pick 'Select data'</a:t>
          </a:r>
        </a:p>
        <a:p>
          <a:pPr algn="l"/>
          <a:r>
            <a:rPr lang="en-GB" sz="1100" b="0" baseline="0">
              <a:solidFill>
                <a:srgbClr val="7030A0"/>
              </a:solidFill>
              <a:latin typeface="Calibri" panose="020F0502020204030204" pitchFamily="34" charset="0"/>
              <a:cs typeface="Calibri" panose="020F0502020204030204" pitchFamily="34" charset="0"/>
            </a:rPr>
            <a:t>- In the "chart data range" field, change the row number to correspond to your last row with data. </a:t>
          </a:r>
        </a:p>
      </xdr:txBody>
    </xdr:sp>
    <xdr:clientData/>
  </xdr:twoCellAnchor>
  <xdr:twoCellAnchor>
    <xdr:from>
      <xdr:col>0</xdr:col>
      <xdr:colOff>845820</xdr:colOff>
      <xdr:row>0</xdr:row>
      <xdr:rowOff>415834</xdr:rowOff>
    </xdr:from>
    <xdr:to>
      <xdr:col>2</xdr:col>
      <xdr:colOff>60960</xdr:colOff>
      <xdr:row>20</xdr:row>
      <xdr:rowOff>211999</xdr:rowOff>
    </xdr:to>
    <xdr:sp macro="" textlink="">
      <xdr:nvSpPr>
        <xdr:cNvPr id="7" name="Rectangle 6">
          <a:extLst>
            <a:ext uri="{FF2B5EF4-FFF2-40B4-BE49-F238E27FC236}">
              <a16:creationId xmlns:a16="http://schemas.microsoft.com/office/drawing/2014/main" id="{00000000-0008-0000-1E00-000007000000}"/>
            </a:ext>
          </a:extLst>
        </xdr:cNvPr>
        <xdr:cNvSpPr/>
      </xdr:nvSpPr>
      <xdr:spPr>
        <a:xfrm>
          <a:off x="845820" y="415834"/>
          <a:ext cx="769620" cy="4581525"/>
        </a:xfrm>
        <a:prstGeom prst="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GB" sz="1100"/>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5</xdr:col>
      <xdr:colOff>609599</xdr:colOff>
      <xdr:row>26</xdr:row>
      <xdr:rowOff>12700</xdr:rowOff>
    </xdr:from>
    <xdr:to>
      <xdr:col>17</xdr:col>
      <xdr:colOff>485774</xdr:colOff>
      <xdr:row>41</xdr:row>
      <xdr:rowOff>104775</xdr:rowOff>
    </xdr:to>
    <xdr:sp macro="" textlink="">
      <xdr:nvSpPr>
        <xdr:cNvPr id="3" name="TextBox 2">
          <a:extLst>
            <a:ext uri="{FF2B5EF4-FFF2-40B4-BE49-F238E27FC236}">
              <a16:creationId xmlns:a16="http://schemas.microsoft.com/office/drawing/2014/main" id="{00000000-0008-0000-2000-000003000000}"/>
            </a:ext>
          </a:extLst>
        </xdr:cNvPr>
        <xdr:cNvSpPr txBox="1"/>
      </xdr:nvSpPr>
      <xdr:spPr>
        <a:xfrm>
          <a:off x="4546599" y="5359400"/>
          <a:ext cx="8562975" cy="27590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200">
              <a:solidFill>
                <a:schemeClr val="dk1"/>
              </a:solidFill>
              <a:latin typeface="Calibri" panose="020F0502020204030204" pitchFamily="34" charset="0"/>
              <a:ea typeface="+mn-ea"/>
              <a:cs typeface="Calibri" panose="020F0502020204030204" pitchFamily="34" charset="0"/>
            </a:rPr>
            <a:t>When to use  an </a:t>
          </a:r>
          <a:r>
            <a:rPr lang="en-GB" sz="1200">
              <a:solidFill>
                <a:srgbClr val="00B050"/>
              </a:solidFill>
              <a:latin typeface="Calibri" panose="020F0502020204030204" pitchFamily="34" charset="0"/>
              <a:ea typeface="+mn-ea"/>
              <a:cs typeface="Calibri" panose="020F0502020204030204" pitchFamily="34" charset="0"/>
            </a:rPr>
            <a:t>Xbar mR</a:t>
          </a:r>
          <a:r>
            <a:rPr lang="en-GB" sz="1200" baseline="0">
              <a:solidFill>
                <a:schemeClr val="dk1"/>
              </a:solidFill>
              <a:latin typeface="Calibri" panose="020F0502020204030204" pitchFamily="34" charset="0"/>
              <a:ea typeface="+mn-ea"/>
              <a:cs typeface="Calibri" panose="020F0502020204030204" pitchFamily="34" charset="0"/>
            </a:rPr>
            <a:t>  chart</a:t>
          </a:r>
          <a:endParaRPr lang="en-GB" sz="1200">
            <a:latin typeface="Calibri" panose="020F0502020204030204" pitchFamily="34" charset="0"/>
            <a:cs typeface="Calibri" panose="020F0502020204030204" pitchFamily="34" charset="0"/>
          </a:endParaRPr>
        </a:p>
        <a:p>
          <a:r>
            <a:rPr lang="en-GB" sz="1200">
              <a:solidFill>
                <a:schemeClr val="dk1"/>
              </a:solidFill>
              <a:latin typeface="Calibri" panose="020F0502020204030204" pitchFamily="34" charset="0"/>
              <a:ea typeface="+mn-ea"/>
              <a:cs typeface="Calibri" panose="020F0502020204030204" pitchFamily="34" charset="0"/>
            </a:rPr>
            <a:t>The Xbar mR chart is used to monitor average</a:t>
          </a:r>
          <a:r>
            <a:rPr lang="en-GB" sz="1200" baseline="0">
              <a:solidFill>
                <a:schemeClr val="dk1"/>
              </a:solidFill>
              <a:latin typeface="Calibri" panose="020F0502020204030204" pitchFamily="34" charset="0"/>
              <a:ea typeface="+mn-ea"/>
              <a:cs typeface="Calibri" panose="020F0502020204030204" pitchFamily="34" charset="0"/>
            </a:rPr>
            <a:t> results over a time period.  It consists of two charts, </a:t>
          </a:r>
          <a:r>
            <a:rPr lang="en-GB" sz="1200">
              <a:latin typeface="Calibri" panose="020F0502020204030204" pitchFamily="34" charset="0"/>
              <a:cs typeface="Calibri" panose="020F0502020204030204" pitchFamily="34" charset="0"/>
            </a:rPr>
            <a:t>(Xbar stands for average observation, and mR stands for moving range).  </a:t>
          </a:r>
        </a:p>
        <a:p>
          <a:endParaRPr lang="en-GB" sz="1200">
            <a:solidFill>
              <a:schemeClr val="dk1"/>
            </a:solidFill>
            <a:latin typeface="Calibri" panose="020F0502020204030204" pitchFamily="34" charset="0"/>
            <a:ea typeface="+mn-ea"/>
            <a:cs typeface="Calibri" panose="020F0502020204030204" pitchFamily="34" charset="0"/>
          </a:endParaRPr>
        </a:p>
        <a:p>
          <a:r>
            <a:rPr lang="en-GB" sz="1200" b="1" baseline="0">
              <a:latin typeface="Calibri" panose="020F0502020204030204" pitchFamily="34" charset="0"/>
              <a:cs typeface="Calibri" panose="020F0502020204030204" pitchFamily="34" charset="0"/>
            </a:rPr>
            <a:t>When to use.</a:t>
          </a:r>
        </a:p>
        <a:p>
          <a:r>
            <a:rPr lang="en-GB" sz="1200" b="0" baseline="0">
              <a:latin typeface="Calibri" panose="020F0502020204030204" pitchFamily="34" charset="0"/>
              <a:cs typeface="Calibri" panose="020F0502020204030204" pitchFamily="34" charset="0"/>
            </a:rPr>
            <a:t>1. Data is continuous</a:t>
          </a:r>
        </a:p>
        <a:p>
          <a:r>
            <a:rPr lang="en-GB" sz="1200" b="0" baseline="0">
              <a:latin typeface="Calibri" panose="020F0502020204030204" pitchFamily="34" charset="0"/>
              <a:cs typeface="Calibri" panose="020F0502020204030204" pitchFamily="34" charset="0"/>
            </a:rPr>
            <a:t>2. Data is normally distributed</a:t>
          </a:r>
        </a:p>
        <a:p>
          <a:r>
            <a:rPr lang="en-GB" sz="1200" b="0" baseline="0">
              <a:latin typeface="Calibri" panose="020F0502020204030204" pitchFamily="34" charset="0"/>
              <a:cs typeface="Calibri" panose="020F0502020204030204" pitchFamily="34" charset="0"/>
            </a:rPr>
            <a:t>3. Nbr of items (a.k.a datapoints) in each subgroup is ≤ 10</a:t>
          </a:r>
        </a:p>
        <a:p>
          <a:endParaRPr lang="en-GB" sz="1200" baseline="0">
            <a:latin typeface="Calibri" panose="020F0502020204030204" pitchFamily="34" charset="0"/>
            <a:cs typeface="Calibri" panose="020F0502020204030204" pitchFamily="34" charset="0"/>
          </a:endParaRPr>
        </a:p>
        <a:p>
          <a:r>
            <a:rPr lang="en-GB" sz="1200" b="1" baseline="0">
              <a:latin typeface="Calibri" panose="020F0502020204030204" pitchFamily="34" charset="0"/>
              <a:cs typeface="Calibri" panose="020F0502020204030204" pitchFamily="34" charset="0"/>
            </a:rPr>
            <a:t>How to use:</a:t>
          </a:r>
        </a:p>
        <a:p>
          <a:r>
            <a:rPr lang="en-GB" sz="1200" baseline="0">
              <a:latin typeface="Calibri" panose="020F0502020204030204" pitchFamily="34" charset="0"/>
              <a:cs typeface="Calibri" panose="020F0502020204030204" pitchFamily="34" charset="0"/>
            </a:rPr>
            <a:t>check the range chart first, if this is out of control, so is the process, after checking this check the Xbar chart.</a:t>
          </a:r>
        </a:p>
        <a:p>
          <a:pPr rtl="0" fontAlgn="ctr"/>
          <a:r>
            <a:rPr lang="en-GB" sz="1200" b="0" i="0">
              <a:solidFill>
                <a:srgbClr val="FF0000"/>
              </a:solidFill>
              <a:effectLst/>
              <a:latin typeface="Calibri" panose="020F0502020204030204" pitchFamily="34" charset="0"/>
              <a:ea typeface="+mn-ea"/>
              <a:cs typeface="Calibri" panose="020F0502020204030204" pitchFamily="34" charset="0"/>
            </a:rPr>
            <a:t>the first 3 tests show as red markers</a:t>
          </a:r>
        </a:p>
        <a:p>
          <a:pPr rtl="0" fontAlgn="ctr"/>
          <a:r>
            <a:rPr lang="en-GB" sz="1200" b="0" i="0">
              <a:solidFill>
                <a:schemeClr val="dk1"/>
              </a:solidFill>
              <a:effectLst/>
              <a:latin typeface="Calibri" panose="020F0502020204030204" pitchFamily="34" charset="0"/>
              <a:ea typeface="+mn-ea"/>
              <a:cs typeface="Calibri" panose="020F0502020204030204" pitchFamily="34" charset="0"/>
            </a:rPr>
            <a:t>- A single point falls out of  (the3 </a:t>
          </a:r>
          <a:r>
            <a:rPr lang="el-GR" sz="1200" b="0" i="0">
              <a:solidFill>
                <a:schemeClr val="dk1"/>
              </a:solidFill>
              <a:effectLst/>
              <a:latin typeface="Calibri" panose="020F0502020204030204" pitchFamily="34" charset="0"/>
              <a:ea typeface="+mn-ea"/>
              <a:cs typeface="Calibri" panose="020F0502020204030204" pitchFamily="34" charset="0"/>
            </a:rPr>
            <a:t>σ</a:t>
          </a:r>
          <a:r>
            <a:rPr lang="en-GB" sz="1200" b="0" i="0">
              <a:solidFill>
                <a:schemeClr val="dk1"/>
              </a:solidFill>
              <a:effectLst/>
              <a:latin typeface="Calibri" panose="020F0502020204030204" pitchFamily="34" charset="0"/>
              <a:ea typeface="+mn-ea"/>
              <a:cs typeface="Calibri" panose="020F0502020204030204" pitchFamily="34" charset="0"/>
            </a:rPr>
            <a:t>) control limits</a:t>
          </a:r>
        </a:p>
        <a:p>
          <a:pPr rtl="0" fontAlgn="ctr"/>
          <a:r>
            <a:rPr lang="en-GB" sz="1200" b="0" i="0">
              <a:solidFill>
                <a:schemeClr val="dk1"/>
              </a:solidFill>
              <a:effectLst/>
              <a:latin typeface="Calibri" panose="020F0502020204030204" pitchFamily="34" charset="0"/>
              <a:ea typeface="+mn-ea"/>
              <a:cs typeface="Calibri" panose="020F0502020204030204" pitchFamily="34" charset="0"/>
            </a:rPr>
            <a:t>- Two out of three successive points are on the same side of the centreline and farther than 2 </a:t>
          </a:r>
          <a:r>
            <a:rPr lang="el-GR" sz="1200" b="0" i="0">
              <a:solidFill>
                <a:schemeClr val="dk1"/>
              </a:solidFill>
              <a:effectLst/>
              <a:latin typeface="Calibri" panose="020F0502020204030204" pitchFamily="34" charset="0"/>
              <a:ea typeface="+mn-ea"/>
              <a:cs typeface="Calibri" panose="020F0502020204030204" pitchFamily="34" charset="0"/>
            </a:rPr>
            <a:t>σ</a:t>
          </a:r>
          <a:r>
            <a:rPr lang="en-GB" sz="1200" b="0" i="0">
              <a:solidFill>
                <a:schemeClr val="dk1"/>
              </a:solidFill>
              <a:effectLst/>
              <a:latin typeface="Calibri" panose="020F0502020204030204" pitchFamily="34" charset="0"/>
              <a:ea typeface="+mn-ea"/>
              <a:cs typeface="Calibri" panose="020F0502020204030204" pitchFamily="34" charset="0"/>
            </a:rPr>
            <a:t> from it. </a:t>
          </a:r>
        </a:p>
        <a:p>
          <a:pPr rtl="0" fontAlgn="ctr"/>
          <a:r>
            <a:rPr lang="en-GB" sz="1200" b="0" i="0">
              <a:solidFill>
                <a:schemeClr val="dk1"/>
              </a:solidFill>
              <a:effectLst/>
              <a:latin typeface="Calibri" panose="020F0502020204030204" pitchFamily="34" charset="0"/>
              <a:ea typeface="+mn-ea"/>
              <a:cs typeface="Calibri" panose="020F0502020204030204" pitchFamily="34" charset="0"/>
            </a:rPr>
            <a:t>- Four out of five successive points are on the same side of the centreline and farther than 1 </a:t>
          </a:r>
          <a:r>
            <a:rPr lang="el-GR" sz="1200" b="0" i="0">
              <a:solidFill>
                <a:schemeClr val="dk1"/>
              </a:solidFill>
              <a:effectLst/>
              <a:latin typeface="Calibri" panose="020F0502020204030204" pitchFamily="34" charset="0"/>
              <a:ea typeface="+mn-ea"/>
              <a:cs typeface="Calibri" panose="020F0502020204030204" pitchFamily="34" charset="0"/>
            </a:rPr>
            <a:t>σ</a:t>
          </a:r>
          <a:r>
            <a:rPr lang="en-GB" sz="1200" b="0" i="0">
              <a:solidFill>
                <a:schemeClr val="dk1"/>
              </a:solidFill>
              <a:effectLst/>
              <a:latin typeface="Calibri" panose="020F0502020204030204" pitchFamily="34" charset="0"/>
              <a:ea typeface="+mn-ea"/>
              <a:cs typeface="Calibri" panose="020F0502020204030204" pitchFamily="34" charset="0"/>
            </a:rPr>
            <a:t> from it. </a:t>
          </a:r>
        </a:p>
        <a:p>
          <a:endParaRPr lang="en-GB" sz="1200" baseline="0">
            <a:latin typeface="Calibri" panose="020F0502020204030204" pitchFamily="34" charset="0"/>
            <a:cs typeface="Calibri" panose="020F0502020204030204" pitchFamily="34" charset="0"/>
          </a:endParaRPr>
        </a:p>
        <a:p>
          <a:endParaRPr lang="en-GB" sz="1200" baseline="0">
            <a:latin typeface="Calibri" panose="020F0502020204030204" pitchFamily="34" charset="0"/>
            <a:cs typeface="Calibri" panose="020F0502020204030204" pitchFamily="34" charset="0"/>
          </a:endParaRPr>
        </a:p>
        <a:p>
          <a:endParaRPr lang="en-GB" sz="1200" baseline="0">
            <a:latin typeface="Calibri" panose="020F0502020204030204" pitchFamily="34" charset="0"/>
            <a:cs typeface="Calibri" panose="020F0502020204030204" pitchFamily="34" charset="0"/>
          </a:endParaRPr>
        </a:p>
        <a:p>
          <a:r>
            <a:rPr lang="en-GB" sz="1200" b="1" baseline="0">
              <a:latin typeface="Calibri" panose="020F0502020204030204" pitchFamily="34" charset="0"/>
              <a:cs typeface="Calibri" panose="020F0502020204030204" pitchFamily="34" charset="0"/>
            </a:rPr>
            <a:t>The Maths...</a:t>
          </a:r>
        </a:p>
        <a:p>
          <a:r>
            <a:rPr lang="en-GB" sz="1200" b="0">
              <a:latin typeface="Calibri" panose="020F0502020204030204" pitchFamily="34" charset="0"/>
              <a:cs typeface="Calibri" panose="020F0502020204030204" pitchFamily="34" charset="0"/>
            </a:rPr>
            <a:t>http://www.itl.nist.gov/div898/handbook/pmc/section3/pmc321.htm</a:t>
          </a:r>
        </a:p>
        <a:p>
          <a:r>
            <a:rPr lang="en-GB" sz="1200" b="0">
              <a:latin typeface="Calibri" panose="020F0502020204030204" pitchFamily="34" charset="0"/>
              <a:cs typeface="Calibri" panose="020F0502020204030204" pitchFamily="34" charset="0"/>
            </a:rPr>
            <a:t>http://www.spcforexcel.com/xbar-r-charts-part-1</a:t>
          </a:r>
        </a:p>
      </xdr:txBody>
    </xdr:sp>
    <xdr:clientData/>
  </xdr:twoCellAnchor>
  <xdr:twoCellAnchor>
    <xdr:from>
      <xdr:col>0</xdr:col>
      <xdr:colOff>28575</xdr:colOff>
      <xdr:row>2</xdr:row>
      <xdr:rowOff>0</xdr:rowOff>
    </xdr:from>
    <xdr:to>
      <xdr:col>5</xdr:col>
      <xdr:colOff>114300</xdr:colOff>
      <xdr:row>23</xdr:row>
      <xdr:rowOff>9525</xdr:rowOff>
    </xdr:to>
    <xdr:sp macro="" textlink="">
      <xdr:nvSpPr>
        <xdr:cNvPr id="4" name="Rectangle 3">
          <a:extLst>
            <a:ext uri="{FF2B5EF4-FFF2-40B4-BE49-F238E27FC236}">
              <a16:creationId xmlns:a16="http://schemas.microsoft.com/office/drawing/2014/main" id="{00000000-0008-0000-2000-000004000000}"/>
            </a:ext>
          </a:extLst>
        </xdr:cNvPr>
        <xdr:cNvSpPr/>
      </xdr:nvSpPr>
      <xdr:spPr>
        <a:xfrm>
          <a:off x="28575" y="850900"/>
          <a:ext cx="4581525" cy="4556125"/>
        </a:xfrm>
        <a:prstGeom prst="rect">
          <a:avLst/>
        </a:prstGeom>
        <a:no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2</xdr:col>
      <xdr:colOff>3176</xdr:colOff>
      <xdr:row>25</xdr:row>
      <xdr:rowOff>47624</xdr:rowOff>
    </xdr:from>
    <xdr:to>
      <xdr:col>4</xdr:col>
      <xdr:colOff>384176</xdr:colOff>
      <xdr:row>33</xdr:row>
      <xdr:rowOff>114299</xdr:rowOff>
    </xdr:to>
    <xdr:sp macro="" textlink="">
      <xdr:nvSpPr>
        <xdr:cNvPr id="6" name="Line Callout 1 (Accent Bar) 5">
          <a:extLst>
            <a:ext uri="{FF2B5EF4-FFF2-40B4-BE49-F238E27FC236}">
              <a16:creationId xmlns:a16="http://schemas.microsoft.com/office/drawing/2014/main" id="{00000000-0008-0000-2000-000006000000}"/>
            </a:ext>
          </a:extLst>
        </xdr:cNvPr>
        <xdr:cNvSpPr/>
      </xdr:nvSpPr>
      <xdr:spPr>
        <a:xfrm>
          <a:off x="1885316" y="5572124"/>
          <a:ext cx="1813560" cy="1659255"/>
        </a:xfrm>
        <a:prstGeom prst="accentCallout1">
          <a:avLst>
            <a:gd name="adj1" fmla="val 18291"/>
            <a:gd name="adj2" fmla="val -2030"/>
            <a:gd name="adj3" fmla="val -30896"/>
            <a:gd name="adj4" fmla="val -55901"/>
          </a:avLst>
        </a:prstGeom>
        <a:solidFill>
          <a:schemeClr val="bg1"/>
        </a:solid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200" b="1">
              <a:solidFill>
                <a:srgbClr val="7030A0"/>
              </a:solidFill>
              <a:latin typeface="Calibri" panose="020F0502020204030204" pitchFamily="34" charset="0"/>
              <a:cs typeface="Calibri" panose="020F0502020204030204" pitchFamily="34" charset="0"/>
            </a:rPr>
            <a:t>Step 1</a:t>
          </a:r>
        </a:p>
        <a:p>
          <a:pPr algn="l"/>
          <a:r>
            <a:rPr lang="en-GB" sz="1200" b="0">
              <a:solidFill>
                <a:srgbClr val="7030A0"/>
              </a:solidFill>
              <a:latin typeface="Calibri" panose="020F0502020204030204" pitchFamily="34" charset="0"/>
              <a:cs typeface="Calibri" panose="020F0502020204030204" pitchFamily="34" charset="0"/>
            </a:rPr>
            <a:t>Enter your data here, </a:t>
          </a:r>
          <a:r>
            <a:rPr lang="en-GB" sz="1200" b="1">
              <a:solidFill>
                <a:srgbClr val="7030A0"/>
              </a:solidFill>
              <a:latin typeface="Calibri" panose="020F0502020204030204" pitchFamily="34" charset="0"/>
              <a:cs typeface="Calibri" panose="020F0502020204030204" pitchFamily="34" charset="0"/>
            </a:rPr>
            <a:t>YOU WILL NEED TO CALCULATE THE INFO FROM YOUR RAW DATA TO USE IN THIS SHEET (or use XBAR</a:t>
          </a:r>
          <a:r>
            <a:rPr lang="en-GB" sz="1200" b="1" baseline="0">
              <a:solidFill>
                <a:srgbClr val="7030A0"/>
              </a:solidFill>
              <a:latin typeface="Calibri" panose="020F0502020204030204" pitchFamily="34" charset="0"/>
              <a:cs typeface="Calibri" panose="020F0502020204030204" pitchFamily="34" charset="0"/>
            </a:rPr>
            <a:t> input data worksheet</a:t>
          </a:r>
          <a:r>
            <a:rPr lang="en-GB" sz="1200" b="1">
              <a:solidFill>
                <a:srgbClr val="7030A0"/>
              </a:solidFill>
              <a:latin typeface="Calibri" panose="020F0502020204030204" pitchFamily="34" charset="0"/>
              <a:cs typeface="Calibri" panose="020F0502020204030204" pitchFamily="34" charset="0"/>
            </a:rPr>
            <a:t>)</a:t>
          </a:r>
        </a:p>
      </xdr:txBody>
    </xdr:sp>
    <xdr:clientData/>
  </xdr:twoCellAnchor>
  <xdr:twoCellAnchor>
    <xdr:from>
      <xdr:col>17</xdr:col>
      <xdr:colOff>122144</xdr:colOff>
      <xdr:row>13</xdr:row>
      <xdr:rowOff>174625</xdr:rowOff>
    </xdr:from>
    <xdr:to>
      <xdr:col>20</xdr:col>
      <xdr:colOff>277719</xdr:colOff>
      <xdr:row>19</xdr:row>
      <xdr:rowOff>41275</xdr:rowOff>
    </xdr:to>
    <xdr:sp macro="" textlink="">
      <xdr:nvSpPr>
        <xdr:cNvPr id="8" name="Line Callout 1 (Accent Bar) 7">
          <a:extLst>
            <a:ext uri="{FF2B5EF4-FFF2-40B4-BE49-F238E27FC236}">
              <a16:creationId xmlns:a16="http://schemas.microsoft.com/office/drawing/2014/main" id="{00000000-0008-0000-2000-000008000000}"/>
            </a:ext>
          </a:extLst>
        </xdr:cNvPr>
        <xdr:cNvSpPr/>
      </xdr:nvSpPr>
      <xdr:spPr>
        <a:xfrm>
          <a:off x="12896850" y="3635001"/>
          <a:ext cx="2163669" cy="1265145"/>
        </a:xfrm>
        <a:prstGeom prst="accentCallout1">
          <a:avLst>
            <a:gd name="adj1" fmla="val 12579"/>
            <a:gd name="adj2" fmla="val -851"/>
            <a:gd name="adj3" fmla="val -94474"/>
            <a:gd name="adj4" fmla="val -31056"/>
          </a:avLst>
        </a:prstGeom>
        <a:solidFill>
          <a:schemeClr val="bg1"/>
        </a:solidFill>
        <a:ln>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200" b="1">
              <a:solidFill>
                <a:srgbClr val="7030A0"/>
              </a:solidFill>
              <a:latin typeface="Calibri" panose="020F0502020204030204" pitchFamily="34" charset="0"/>
              <a:cs typeface="Calibri" panose="020F0502020204030204" pitchFamily="34" charset="0"/>
            </a:rPr>
            <a:t>Step 2</a:t>
          </a:r>
        </a:p>
        <a:p>
          <a:pPr algn="l"/>
          <a:r>
            <a:rPr lang="en-GB" sz="1200" b="0">
              <a:solidFill>
                <a:srgbClr val="7030A0"/>
              </a:solidFill>
              <a:latin typeface="Calibri" panose="020F0502020204030204" pitchFamily="34" charset="0"/>
              <a:cs typeface="Calibri" panose="020F0502020204030204" pitchFamily="34" charset="0"/>
            </a:rPr>
            <a:t>Edit the formulas</a:t>
          </a:r>
          <a:r>
            <a:rPr lang="en-GB" sz="1200" b="0" baseline="0">
              <a:solidFill>
                <a:srgbClr val="7030A0"/>
              </a:solidFill>
              <a:latin typeface="Calibri" panose="020F0502020204030204" pitchFamily="34" charset="0"/>
              <a:cs typeface="Calibri" panose="020F0502020204030204" pitchFamily="34" charset="0"/>
            </a:rPr>
            <a:t> so that the correct factors are referred to based on the sub group size, I have set this up for 2 sub groups </a:t>
          </a:r>
          <a:endParaRPr lang="en-GB" sz="1200" b="0">
            <a:solidFill>
              <a:srgbClr val="7030A0"/>
            </a:solidFill>
            <a:latin typeface="Calibri" panose="020F0502020204030204" pitchFamily="34" charset="0"/>
            <a:cs typeface="Calibri" panose="020F0502020204030204" pitchFamily="34" charset="0"/>
          </a:endParaRPr>
        </a:p>
      </xdr:txBody>
    </xdr:sp>
    <xdr:clientData/>
  </xdr:twoCellAnchor>
  <xdr:twoCellAnchor>
    <xdr:from>
      <xdr:col>5</xdr:col>
      <xdr:colOff>434974</xdr:colOff>
      <xdr:row>1</xdr:row>
      <xdr:rowOff>117475</xdr:rowOff>
    </xdr:from>
    <xdr:to>
      <xdr:col>16</xdr:col>
      <xdr:colOff>387349</xdr:colOff>
      <xdr:row>13</xdr:row>
      <xdr:rowOff>31750</xdr:rowOff>
    </xdr:to>
    <xdr:graphicFrame macro="">
      <xdr:nvGraphicFramePr>
        <xdr:cNvPr id="9" name="Chart 8">
          <a:extLst>
            <a:ext uri="{FF2B5EF4-FFF2-40B4-BE49-F238E27FC236}">
              <a16:creationId xmlns:a16="http://schemas.microsoft.com/office/drawing/2014/main" id="{00000000-0008-0000-20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492125</xdr:colOff>
      <xdr:row>13</xdr:row>
      <xdr:rowOff>60325</xdr:rowOff>
    </xdr:from>
    <xdr:to>
      <xdr:col>16</xdr:col>
      <xdr:colOff>444500</xdr:colOff>
      <xdr:row>25</xdr:row>
      <xdr:rowOff>152400</xdr:rowOff>
    </xdr:to>
    <xdr:graphicFrame macro="">
      <xdr:nvGraphicFramePr>
        <xdr:cNvPr id="10" name="Chart 9">
          <a:extLst>
            <a:ext uri="{FF2B5EF4-FFF2-40B4-BE49-F238E27FC236}">
              <a16:creationId xmlns:a16="http://schemas.microsoft.com/office/drawing/2014/main" id="{00000000-0008-0000-20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5</xdr:col>
      <xdr:colOff>0</xdr:colOff>
      <xdr:row>3</xdr:row>
      <xdr:rowOff>137583</xdr:rowOff>
    </xdr:from>
    <xdr:to>
      <xdr:col>5</xdr:col>
      <xdr:colOff>359833</xdr:colOff>
      <xdr:row>3</xdr:row>
      <xdr:rowOff>486833</xdr:rowOff>
    </xdr:to>
    <xdr:sp macro="" textlink="">
      <xdr:nvSpPr>
        <xdr:cNvPr id="3" name="Arrow: Right 2">
          <a:extLst>
            <a:ext uri="{FF2B5EF4-FFF2-40B4-BE49-F238E27FC236}">
              <a16:creationId xmlns:a16="http://schemas.microsoft.com/office/drawing/2014/main" id="{00000000-0008-0000-2300-000003000000}"/>
            </a:ext>
          </a:extLst>
        </xdr:cNvPr>
        <xdr:cNvSpPr/>
      </xdr:nvSpPr>
      <xdr:spPr>
        <a:xfrm>
          <a:off x="8117417" y="740833"/>
          <a:ext cx="359833" cy="349250"/>
        </a:xfrm>
        <a:prstGeom prst="rightArrow">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8</xdr:col>
      <xdr:colOff>342900</xdr:colOff>
      <xdr:row>2</xdr:row>
      <xdr:rowOff>114300</xdr:rowOff>
    </xdr:from>
    <xdr:to>
      <xdr:col>13</xdr:col>
      <xdr:colOff>28575</xdr:colOff>
      <xdr:row>17</xdr:row>
      <xdr:rowOff>19050</xdr:rowOff>
    </xdr:to>
    <xdr:sp macro="" textlink="">
      <xdr:nvSpPr>
        <xdr:cNvPr id="2" name="TextBox 1">
          <a:extLst>
            <a:ext uri="{FF2B5EF4-FFF2-40B4-BE49-F238E27FC236}">
              <a16:creationId xmlns:a16="http://schemas.microsoft.com/office/drawing/2014/main" id="{00000000-0008-0000-2400-000002000000}"/>
            </a:ext>
          </a:extLst>
        </xdr:cNvPr>
        <xdr:cNvSpPr txBox="1"/>
      </xdr:nvSpPr>
      <xdr:spPr>
        <a:xfrm>
          <a:off x="6410325" y="581025"/>
          <a:ext cx="3943350" cy="2905125"/>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accent1"/>
              </a:solidFill>
              <a:latin typeface="+mn-lt"/>
            </a:rPr>
            <a:t>Chi-square</a:t>
          </a:r>
          <a:r>
            <a:rPr lang="en-GB" sz="1100">
              <a:latin typeface="+mn-lt"/>
            </a:rPr>
            <a:t> is a statistical test commonly used to</a:t>
          </a:r>
          <a:r>
            <a:rPr lang="en-GB" sz="1100" baseline="0">
              <a:latin typeface="+mn-lt"/>
            </a:rPr>
            <a:t> test whether there is a relationship between 2 discrete factors with each 2 or more levels.</a:t>
          </a:r>
        </a:p>
        <a:p>
          <a:pPr marL="0" marR="0" indent="0" defTabSz="914400" eaLnBrk="1" fontAlgn="auto" latinLnBrk="0" hangingPunct="1">
            <a:lnSpc>
              <a:spcPct val="100000"/>
            </a:lnSpc>
            <a:spcBef>
              <a:spcPts val="0"/>
            </a:spcBef>
            <a:spcAft>
              <a:spcPts val="0"/>
            </a:spcAft>
            <a:buClrTx/>
            <a:buSzTx/>
            <a:buFontTx/>
            <a:buNone/>
            <a:tabLst/>
            <a:defRPr/>
          </a:pPr>
          <a:endParaRPr lang="en-GB" sz="1100" b="1" i="1" baseline="0">
            <a:latin typeface="+mn-lt"/>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i="0" baseline="0">
              <a:latin typeface="+mn-lt"/>
            </a:rPr>
            <a:t>Chi-s</a:t>
          </a:r>
          <a:r>
            <a:rPr lang="en-GB" sz="1100" b="1" i="0">
              <a:latin typeface="+mn-lt"/>
            </a:rPr>
            <a:t>quare test requires that you use numerical values, not percentages or ratios.</a:t>
          </a:r>
        </a:p>
        <a:p>
          <a:pPr marL="0" marR="0" indent="0" defTabSz="914400" eaLnBrk="1" fontAlgn="auto" latinLnBrk="0" hangingPunct="1">
            <a:lnSpc>
              <a:spcPct val="100000"/>
            </a:lnSpc>
            <a:spcBef>
              <a:spcPts val="0"/>
            </a:spcBef>
            <a:spcAft>
              <a:spcPts val="0"/>
            </a:spcAft>
            <a:buClrTx/>
            <a:buSzTx/>
            <a:buFontTx/>
            <a:buNone/>
            <a:tabLst/>
            <a:defRPr/>
          </a:pPr>
          <a:r>
            <a:rPr lang="en-GB" sz="1100" b="0" i="0">
              <a:solidFill>
                <a:srgbClr val="FF0000"/>
              </a:solidFill>
              <a:latin typeface="+mn-lt"/>
            </a:rPr>
            <a:t>The chi-squared test is a little unreliable with very small expected values,</a:t>
          </a:r>
          <a:r>
            <a:rPr lang="en-GB" sz="1100" b="0" i="0" baseline="0">
              <a:solidFill>
                <a:srgbClr val="FF0000"/>
              </a:solidFill>
              <a:latin typeface="+mn-lt"/>
            </a:rPr>
            <a:t> as a guide values less than 5 or total less than 40 should be avoided.</a:t>
          </a:r>
        </a:p>
        <a:p>
          <a:pPr marL="0" marR="0" indent="0" defTabSz="914400" eaLnBrk="1" fontAlgn="auto" latinLnBrk="0" hangingPunct="1">
            <a:lnSpc>
              <a:spcPct val="100000"/>
            </a:lnSpc>
            <a:spcBef>
              <a:spcPts val="0"/>
            </a:spcBef>
            <a:spcAft>
              <a:spcPts val="0"/>
            </a:spcAft>
            <a:buClrTx/>
            <a:buSzTx/>
            <a:buFontTx/>
            <a:buNone/>
            <a:tabLst/>
            <a:defRPr/>
          </a:pPr>
          <a:endParaRPr lang="en-GB" sz="1100" b="1">
            <a:latin typeface="+mn-lt"/>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latin typeface="+mn-lt"/>
            </a:rPr>
            <a:t>Instructions</a:t>
          </a:r>
        </a:p>
        <a:p>
          <a:pPr eaLnBrk="1" fontAlgn="auto" latinLnBrk="0" hangingPunct="1"/>
          <a:r>
            <a:rPr lang="en-GB" sz="1100" baseline="0">
              <a:solidFill>
                <a:schemeClr val="dk1"/>
              </a:solidFill>
              <a:effectLst/>
              <a:latin typeface="+mn-lt"/>
              <a:ea typeface="+mn-ea"/>
              <a:cs typeface="+mn-cs"/>
            </a:rPr>
            <a:t>Enter the actual count and label in the peach cells. The worksheet is pre-set for up-to and including 4 levels.  If you need more speak with your coach.</a:t>
          </a:r>
        </a:p>
        <a:p>
          <a:pPr eaLnBrk="1" fontAlgn="auto" latinLnBrk="0" hangingPunct="1"/>
          <a:endParaRPr lang="en-GB" sz="1100" baseline="0">
            <a:solidFill>
              <a:schemeClr val="dk1"/>
            </a:solidFill>
            <a:effectLst/>
            <a:latin typeface="+mn-lt"/>
            <a:ea typeface="+mn-ea"/>
            <a:cs typeface="+mn-cs"/>
          </a:endParaRPr>
        </a:p>
        <a:p>
          <a:pPr eaLnBrk="1" fontAlgn="auto" latinLnBrk="0" hangingPunct="1"/>
          <a:r>
            <a:rPr lang="en-GB" sz="1100" baseline="0">
              <a:solidFill>
                <a:schemeClr val="dk1"/>
              </a:solidFill>
              <a:effectLst/>
              <a:latin typeface="+mn-lt"/>
              <a:ea typeface="+mn-ea"/>
              <a:cs typeface="+mn-cs"/>
            </a:rPr>
            <a:t>You will need to run the test to check if there is a statistical significant relationship, before using the individual contributions to chi-square value to identify those significant levels and draw conclusion.</a:t>
          </a:r>
          <a:endParaRPr lang="en-GB" sz="1100">
            <a:effectLst/>
            <a:latin typeface="+mn-lt"/>
          </a:endParaRPr>
        </a:p>
        <a:p>
          <a:pPr marL="0" marR="0" indent="0" defTabSz="914400" eaLnBrk="1" fontAlgn="auto" latinLnBrk="0" hangingPunct="1">
            <a:lnSpc>
              <a:spcPct val="100000"/>
            </a:lnSpc>
            <a:spcBef>
              <a:spcPts val="0"/>
            </a:spcBef>
            <a:spcAft>
              <a:spcPts val="0"/>
            </a:spcAft>
            <a:buClrTx/>
            <a:buSzTx/>
            <a:buFontTx/>
            <a:buNone/>
            <a:tabLst/>
            <a:defRPr/>
          </a:pPr>
          <a:endParaRPr lang="en-GB" sz="1100">
            <a:latin typeface="+mn-lt"/>
          </a:endParaRP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4</xdr:col>
      <xdr:colOff>3174</xdr:colOff>
      <xdr:row>16</xdr:row>
      <xdr:rowOff>6350</xdr:rowOff>
    </xdr:from>
    <xdr:to>
      <xdr:col>7</xdr:col>
      <xdr:colOff>3175</xdr:colOff>
      <xdr:row>30</xdr:row>
      <xdr:rowOff>101600</xdr:rowOff>
    </xdr:to>
    <xdr:graphicFrame macro="">
      <xdr:nvGraphicFramePr>
        <xdr:cNvPr id="2" name="Chart 1">
          <a:extLst>
            <a:ext uri="{FF2B5EF4-FFF2-40B4-BE49-F238E27FC236}">
              <a16:creationId xmlns:a16="http://schemas.microsoft.com/office/drawing/2014/main" id="{00000000-0008-0000-2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316230</xdr:colOff>
      <xdr:row>15</xdr:row>
      <xdr:rowOff>131444</xdr:rowOff>
    </xdr:from>
    <xdr:to>
      <xdr:col>16</xdr:col>
      <xdr:colOff>278130</xdr:colOff>
      <xdr:row>29</xdr:row>
      <xdr:rowOff>161925</xdr:rowOff>
    </xdr:to>
    <xdr:sp macro="" textlink="">
      <xdr:nvSpPr>
        <xdr:cNvPr id="3" name="TextBox 2">
          <a:extLst>
            <a:ext uri="{FF2B5EF4-FFF2-40B4-BE49-F238E27FC236}">
              <a16:creationId xmlns:a16="http://schemas.microsoft.com/office/drawing/2014/main" id="{00000000-0008-0000-2500-000003000000}"/>
            </a:ext>
          </a:extLst>
        </xdr:cNvPr>
        <xdr:cNvSpPr txBox="1"/>
      </xdr:nvSpPr>
      <xdr:spPr>
        <a:xfrm>
          <a:off x="5678805" y="3131819"/>
          <a:ext cx="5181600" cy="2830831"/>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accent1"/>
              </a:solidFill>
              <a:latin typeface="Calibri" panose="020F0502020204030204" pitchFamily="34" charset="0"/>
              <a:cs typeface="Calibri" panose="020F0502020204030204" pitchFamily="34" charset="0"/>
            </a:rPr>
            <a:t>F Test</a:t>
          </a:r>
        </a:p>
        <a:p>
          <a:r>
            <a:rPr lang="en-GB" sz="1100">
              <a:latin typeface="Calibri" panose="020F0502020204030204" pitchFamily="34" charset="0"/>
              <a:cs typeface="Calibri" panose="020F0502020204030204" pitchFamily="34" charset="0"/>
            </a:rPr>
            <a:t>Use the 2-tailed F test</a:t>
          </a:r>
          <a:r>
            <a:rPr lang="en-GB" sz="1100" baseline="0">
              <a:latin typeface="Calibri" panose="020F0502020204030204" pitchFamily="34" charset="0"/>
              <a:cs typeface="Calibri" panose="020F0502020204030204" pitchFamily="34" charset="0"/>
            </a:rPr>
            <a:t> when you want to know whether </a:t>
          </a:r>
          <a:r>
            <a:rPr lang="en-GB" sz="1100" b="1" baseline="0">
              <a:latin typeface="Calibri" panose="020F0502020204030204" pitchFamily="34" charset="0"/>
              <a:cs typeface="Calibri" panose="020F0502020204030204" pitchFamily="34" charset="0"/>
            </a:rPr>
            <a:t>two</a:t>
          </a:r>
          <a:r>
            <a:rPr lang="en-GB" sz="1100" baseline="0">
              <a:latin typeface="Calibri" panose="020F0502020204030204" pitchFamily="34" charset="0"/>
              <a:cs typeface="Calibri" panose="020F0502020204030204" pitchFamily="34" charset="0"/>
            </a:rPr>
            <a:t> samples have the same variance.</a:t>
          </a:r>
        </a:p>
        <a:p>
          <a:endParaRPr lang="en-GB" sz="1100" baseline="0">
            <a:latin typeface="Calibri" panose="020F0502020204030204" pitchFamily="34" charset="0"/>
            <a:cs typeface="Calibri" panose="020F0502020204030204" pitchFamily="34" charset="0"/>
          </a:endParaRPr>
        </a:p>
        <a:p>
          <a:r>
            <a:rPr lang="en-GB" sz="1100" b="1" baseline="0">
              <a:latin typeface="Calibri" panose="020F0502020204030204" pitchFamily="34" charset="0"/>
              <a:cs typeface="Calibri" panose="020F0502020204030204" pitchFamily="34" charset="0"/>
            </a:rPr>
            <a:t>Instructions:</a:t>
          </a:r>
        </a:p>
        <a:p>
          <a:r>
            <a:rPr lang="en-GB" sz="1100" baseline="0">
              <a:latin typeface="Calibri" panose="020F0502020204030204" pitchFamily="34" charset="0"/>
              <a:cs typeface="Calibri" panose="020F0502020204030204" pitchFamily="34" charset="0"/>
            </a:rPr>
            <a:t>Enter your Y data in columns A and B everything else is done for you (in this example our factor has 2 levels (with or without pins).  It could also be 2 suppliers, etc.</a:t>
          </a:r>
        </a:p>
        <a:p>
          <a:r>
            <a:rPr lang="en-GB" sz="1100" baseline="0">
              <a:latin typeface="Calibri" panose="020F0502020204030204" pitchFamily="34" charset="0"/>
              <a:cs typeface="Calibri" panose="020F0502020204030204" pitchFamily="34" charset="0"/>
            </a:rPr>
            <a:t>Input the label for the group and the chart title in the peach coloured cell.</a:t>
          </a:r>
        </a:p>
        <a:p>
          <a:endParaRPr lang="en-GB" sz="1100" baseline="0">
            <a:latin typeface="Calibri" panose="020F0502020204030204" pitchFamily="34" charset="0"/>
            <a:cs typeface="Calibri" panose="020F0502020204030204" pitchFamily="34" charset="0"/>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baseline="0">
              <a:latin typeface="Calibri" panose="020F0502020204030204" pitchFamily="34" charset="0"/>
              <a:cs typeface="Calibri" panose="020F0502020204030204" pitchFamily="34" charset="0"/>
            </a:rPr>
            <a:t>Prerequ</a:t>
          </a:r>
          <a:r>
            <a:rPr lang="en-GB" sz="1100" b="1" baseline="0">
              <a:solidFill>
                <a:schemeClr val="dk1"/>
              </a:solidFill>
              <a:effectLst/>
              <a:latin typeface="Calibri" panose="020F0502020204030204" pitchFamily="34" charset="0"/>
              <a:ea typeface="+mn-ea"/>
              <a:cs typeface="Calibri" panose="020F0502020204030204" pitchFamily="34" charset="0"/>
            </a:rPr>
            <a:t>isites </a:t>
          </a:r>
        </a:p>
        <a:p>
          <a:pPr marL="0" marR="0" indent="0" defTabSz="914400" eaLnBrk="1" fontAlgn="auto" latinLnBrk="0" hangingPunct="1">
            <a:lnSpc>
              <a:spcPct val="100000"/>
            </a:lnSpc>
            <a:spcBef>
              <a:spcPts val="0"/>
            </a:spcBef>
            <a:spcAft>
              <a:spcPts val="0"/>
            </a:spcAft>
            <a:buClrTx/>
            <a:buSzTx/>
            <a:buFontTx/>
            <a:buNone/>
            <a:tabLst/>
            <a:defRPr/>
          </a:pPr>
          <a:r>
            <a:rPr lang="en-GB" sz="1100" b="1" baseline="0">
              <a:solidFill>
                <a:schemeClr val="dk1"/>
              </a:solidFill>
              <a:effectLst/>
              <a:latin typeface="Calibri" panose="020F0502020204030204" pitchFamily="34" charset="0"/>
              <a:ea typeface="+mn-ea"/>
              <a:cs typeface="Calibri" panose="020F0502020204030204" pitchFamily="34" charset="0"/>
            </a:rPr>
            <a:t>Factor with 2 levels only: if you have 3, contact someone with statistical software</a:t>
          </a:r>
          <a:endParaRPr lang="en-GB">
            <a:effectLst/>
            <a:latin typeface="Calibri" panose="020F0502020204030204" pitchFamily="34" charset="0"/>
            <a:cs typeface="Calibri" panose="020F0502020204030204" pitchFamily="34" charset="0"/>
          </a:endParaRPr>
        </a:p>
        <a:p>
          <a:r>
            <a:rPr lang="en-GB" sz="1100" b="0" baseline="0">
              <a:latin typeface="Calibri" panose="020F0502020204030204" pitchFamily="34" charset="0"/>
              <a:cs typeface="Calibri" panose="020F0502020204030204" pitchFamily="34" charset="0"/>
            </a:rPr>
            <a:t>1) Both populations are normally distributed - Use graphical summary</a:t>
          </a:r>
        </a:p>
        <a:p>
          <a:r>
            <a:rPr lang="en-GB" sz="1100" b="0" baseline="0">
              <a:latin typeface="Calibri" panose="020F0502020204030204" pitchFamily="34" charset="0"/>
              <a:cs typeface="Calibri" panose="020F0502020204030204" pitchFamily="34" charset="0"/>
            </a:rPr>
            <a:t>2) Both samples are independent of each other</a:t>
          </a:r>
        </a:p>
        <a:p>
          <a:r>
            <a:rPr lang="en-GB" sz="1100" b="0" baseline="0">
              <a:latin typeface="Calibri" panose="020F0502020204030204" pitchFamily="34" charset="0"/>
              <a:cs typeface="Calibri" panose="020F0502020204030204" pitchFamily="34" charset="0"/>
            </a:rPr>
            <a:t>3) Within each sample the observations were randomly sampled and independent of each other</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17</xdr:col>
      <xdr:colOff>201930</xdr:colOff>
      <xdr:row>16</xdr:row>
      <xdr:rowOff>19049</xdr:rowOff>
    </xdr:from>
    <xdr:to>
      <xdr:col>21</xdr:col>
      <xdr:colOff>171450</xdr:colOff>
      <xdr:row>28</xdr:row>
      <xdr:rowOff>40820</xdr:rowOff>
    </xdr:to>
    <xdr:sp macro="" textlink="">
      <xdr:nvSpPr>
        <xdr:cNvPr id="2" name="TextBox 1">
          <a:extLst>
            <a:ext uri="{FF2B5EF4-FFF2-40B4-BE49-F238E27FC236}">
              <a16:creationId xmlns:a16="http://schemas.microsoft.com/office/drawing/2014/main" id="{00000000-0008-0000-2600-000002000000}"/>
            </a:ext>
          </a:extLst>
        </xdr:cNvPr>
        <xdr:cNvSpPr txBox="1"/>
      </xdr:nvSpPr>
      <xdr:spPr>
        <a:xfrm>
          <a:off x="10597787" y="3475263"/>
          <a:ext cx="3412127" cy="2471057"/>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accent1"/>
              </a:solidFill>
              <a:latin typeface="+mn-lt"/>
            </a:rPr>
            <a:t>Moods median </a:t>
          </a:r>
          <a:r>
            <a:rPr lang="en-GB" sz="1100">
              <a:solidFill>
                <a:schemeClr val="tx1">
                  <a:lumMod val="75000"/>
                  <a:lumOff val="25000"/>
                </a:schemeClr>
              </a:solidFill>
              <a:latin typeface="+mn-lt"/>
            </a:rPr>
            <a:t>is a non-parametric test (type of Chi-square test) used to test non-normally distributed</a:t>
          </a:r>
          <a:r>
            <a:rPr lang="en-GB" sz="1100" baseline="0">
              <a:solidFill>
                <a:schemeClr val="tx1">
                  <a:lumMod val="75000"/>
                  <a:lumOff val="25000"/>
                </a:schemeClr>
              </a:solidFill>
              <a:latin typeface="+mn-lt"/>
            </a:rPr>
            <a:t> continuous data.  It will </a:t>
          </a:r>
          <a:r>
            <a:rPr lang="en-GB" sz="1100">
              <a:solidFill>
                <a:schemeClr val="tx1">
                  <a:lumMod val="75000"/>
                  <a:lumOff val="25000"/>
                </a:schemeClr>
              </a:solidFill>
              <a:latin typeface="+mn-lt"/>
            </a:rPr>
            <a:t>split the CTQ (Y) data into bins above and below the</a:t>
          </a:r>
          <a:r>
            <a:rPr lang="en-GB" sz="1100" baseline="0">
              <a:solidFill>
                <a:schemeClr val="tx1">
                  <a:lumMod val="75000"/>
                  <a:lumOff val="25000"/>
                </a:schemeClr>
              </a:solidFill>
              <a:latin typeface="+mn-lt"/>
            </a:rPr>
            <a:t> overall median of the data set for each level of the factor studied (X), and then uses these bins to perform a Chi-Square test</a:t>
          </a:r>
          <a:r>
            <a:rPr lang="en-GB" sz="1100">
              <a:solidFill>
                <a:schemeClr val="tx1">
                  <a:lumMod val="75000"/>
                  <a:lumOff val="25000"/>
                </a:schemeClr>
              </a:solidFill>
              <a:latin typeface="+mn-lt"/>
            </a:rPr>
            <a:t>.</a:t>
          </a:r>
        </a:p>
        <a:p>
          <a:pPr marL="0" marR="0" indent="0" defTabSz="914400" eaLnBrk="1" fontAlgn="auto" latinLnBrk="0" hangingPunct="1">
            <a:lnSpc>
              <a:spcPct val="100000"/>
            </a:lnSpc>
            <a:spcBef>
              <a:spcPts val="0"/>
            </a:spcBef>
            <a:spcAft>
              <a:spcPts val="0"/>
            </a:spcAft>
            <a:buClrTx/>
            <a:buSzTx/>
            <a:buFontTx/>
            <a:buNone/>
            <a:tabLst/>
            <a:defRPr/>
          </a:pPr>
          <a:endParaRPr lang="en-GB" sz="1100">
            <a:solidFill>
              <a:schemeClr val="tx1">
                <a:lumMod val="75000"/>
                <a:lumOff val="25000"/>
              </a:schemeClr>
            </a:solidFill>
            <a:latin typeface="+mn-lt"/>
          </a:endParaRPr>
        </a:p>
        <a:p>
          <a:pPr marL="0" marR="0" indent="0" defTabSz="914400" eaLnBrk="1" fontAlgn="auto" latinLnBrk="0" hangingPunct="1">
            <a:lnSpc>
              <a:spcPct val="100000"/>
            </a:lnSpc>
            <a:spcBef>
              <a:spcPts val="0"/>
            </a:spcBef>
            <a:spcAft>
              <a:spcPts val="0"/>
            </a:spcAft>
            <a:buClrTx/>
            <a:buSzTx/>
            <a:buFontTx/>
            <a:buNone/>
            <a:tabLst/>
            <a:defRPr/>
          </a:pPr>
          <a:r>
            <a:rPr lang="en-GB" sz="1100">
              <a:solidFill>
                <a:schemeClr val="tx1">
                  <a:lumMod val="75000"/>
                  <a:lumOff val="25000"/>
                </a:schemeClr>
              </a:solidFill>
              <a:latin typeface="+mn-lt"/>
            </a:rPr>
            <a:t>You</a:t>
          </a:r>
          <a:r>
            <a:rPr lang="en-GB" sz="1100" baseline="0">
              <a:solidFill>
                <a:schemeClr val="tx1">
                  <a:lumMod val="75000"/>
                  <a:lumOff val="25000"/>
                </a:schemeClr>
              </a:solidFill>
              <a:latin typeface="+mn-lt"/>
            </a:rPr>
            <a:t> will need to have the Y data entered for each level of your factor.</a:t>
          </a:r>
          <a:endParaRPr lang="en-GB" sz="1100">
            <a:solidFill>
              <a:schemeClr val="tx1">
                <a:lumMod val="75000"/>
                <a:lumOff val="25000"/>
              </a:schemeClr>
            </a:solidFill>
            <a:latin typeface="+mn-lt"/>
          </a:endParaRPr>
        </a:p>
        <a:p>
          <a:pPr marL="0" marR="0" indent="0" defTabSz="914400" eaLnBrk="1" fontAlgn="auto" latinLnBrk="0" hangingPunct="1">
            <a:lnSpc>
              <a:spcPct val="100000"/>
            </a:lnSpc>
            <a:spcBef>
              <a:spcPts val="0"/>
            </a:spcBef>
            <a:spcAft>
              <a:spcPts val="0"/>
            </a:spcAft>
            <a:buClrTx/>
            <a:buSzTx/>
            <a:buFontTx/>
            <a:buNone/>
            <a:tabLst/>
            <a:defRPr/>
          </a:pPr>
          <a:endParaRPr lang="en-GB" sz="1100">
            <a:solidFill>
              <a:schemeClr val="tx1">
                <a:lumMod val="75000"/>
                <a:lumOff val="25000"/>
              </a:schemeClr>
            </a:solidFill>
            <a:latin typeface="+mn-lt"/>
          </a:endParaRPr>
        </a:p>
        <a:p>
          <a:pPr marL="0" marR="0" indent="0" defTabSz="914400" eaLnBrk="1" fontAlgn="auto" latinLnBrk="0" hangingPunct="1">
            <a:lnSpc>
              <a:spcPct val="100000"/>
            </a:lnSpc>
            <a:spcBef>
              <a:spcPts val="0"/>
            </a:spcBef>
            <a:spcAft>
              <a:spcPts val="0"/>
            </a:spcAft>
            <a:buClrTx/>
            <a:buSzTx/>
            <a:buFontTx/>
            <a:buNone/>
            <a:tabLst/>
            <a:defRPr/>
          </a:pPr>
          <a:r>
            <a:rPr lang="en-GB" sz="1100">
              <a:solidFill>
                <a:schemeClr val="tx1">
                  <a:lumMod val="75000"/>
                  <a:lumOff val="25000"/>
                </a:schemeClr>
              </a:solidFill>
              <a:latin typeface="+mn-lt"/>
            </a:rPr>
            <a:t>The Chi-sq. tests the </a:t>
          </a:r>
          <a:r>
            <a:rPr lang="en-GB" sz="1100" b="1">
              <a:solidFill>
                <a:schemeClr val="tx1">
                  <a:lumMod val="75000"/>
                  <a:lumOff val="25000"/>
                </a:schemeClr>
              </a:solidFill>
              <a:latin typeface="+mn-lt"/>
            </a:rPr>
            <a:t>null hypothesis, </a:t>
          </a:r>
          <a:r>
            <a:rPr lang="en-GB" sz="1100">
              <a:solidFill>
                <a:schemeClr val="tx1">
                  <a:lumMod val="75000"/>
                  <a:lumOff val="25000"/>
                </a:schemeClr>
              </a:solidFill>
              <a:latin typeface="+mn-lt"/>
            </a:rPr>
            <a:t>which states that there is no significant difference between the</a:t>
          </a:r>
          <a:r>
            <a:rPr lang="en-GB" sz="1100" baseline="0">
              <a:solidFill>
                <a:schemeClr val="tx1">
                  <a:lumMod val="75000"/>
                  <a:lumOff val="25000"/>
                </a:schemeClr>
              </a:solidFill>
              <a:latin typeface="+mn-lt"/>
            </a:rPr>
            <a:t> </a:t>
          </a:r>
          <a:r>
            <a:rPr lang="en-GB" sz="1100">
              <a:solidFill>
                <a:schemeClr val="tx1">
                  <a:lumMod val="75000"/>
                  <a:lumOff val="25000"/>
                </a:schemeClr>
              </a:solidFill>
              <a:latin typeface="+mn-lt"/>
            </a:rPr>
            <a:t>expected and observed result.</a:t>
          </a:r>
          <a:endParaRPr lang="en-GB" sz="1100" baseline="0">
            <a:solidFill>
              <a:schemeClr val="tx1">
                <a:lumMod val="75000"/>
                <a:lumOff val="25000"/>
              </a:schemeClr>
            </a:solidFill>
            <a:latin typeface="+mn-lt"/>
          </a:endParaRP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13</xdr:col>
      <xdr:colOff>415380</xdr:colOff>
      <xdr:row>17</xdr:row>
      <xdr:rowOff>146414</xdr:rowOff>
    </xdr:from>
    <xdr:to>
      <xdr:col>21</xdr:col>
      <xdr:colOff>311332</xdr:colOff>
      <xdr:row>26</xdr:row>
      <xdr:rowOff>43544</xdr:rowOff>
    </xdr:to>
    <xdr:sp macro="" textlink="">
      <xdr:nvSpPr>
        <xdr:cNvPr id="2" name="TextBox 1">
          <a:extLst>
            <a:ext uri="{FF2B5EF4-FFF2-40B4-BE49-F238E27FC236}">
              <a16:creationId xmlns:a16="http://schemas.microsoft.com/office/drawing/2014/main" id="{00000000-0008-0000-2700-000002000000}"/>
            </a:ext>
          </a:extLst>
        </xdr:cNvPr>
        <xdr:cNvSpPr txBox="1"/>
      </xdr:nvSpPr>
      <xdr:spPr>
        <a:xfrm>
          <a:off x="11299280" y="3410314"/>
          <a:ext cx="5280752" cy="161163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b="1">
              <a:latin typeface="+mn-lt"/>
            </a:rPr>
            <a:t>From Wikipedia</a:t>
          </a:r>
        </a:p>
        <a:p>
          <a:r>
            <a:rPr lang="en-GB">
              <a:latin typeface="+mn-lt"/>
            </a:rPr>
            <a:t>In statistical significance testing, a </a:t>
          </a:r>
          <a:r>
            <a:rPr lang="en-GB" b="1">
              <a:latin typeface="+mn-lt"/>
            </a:rPr>
            <a:t>one-tailed test</a:t>
          </a:r>
          <a:r>
            <a:rPr lang="en-GB">
              <a:latin typeface="+mn-lt"/>
            </a:rPr>
            <a:t> or </a:t>
          </a:r>
          <a:r>
            <a:rPr lang="en-GB" b="1">
              <a:latin typeface="+mn-lt"/>
            </a:rPr>
            <a:t>two-tailed test</a:t>
          </a:r>
          <a:r>
            <a:rPr lang="en-GB">
              <a:latin typeface="+mn-lt"/>
            </a:rPr>
            <a:t> are alternative ways of computing the statistical significance of a data set in terms of a test statistic, depending on whether only one direction is considered extreme (and unlikely) or both directions are considered equally likely. </a:t>
          </a:r>
        </a:p>
        <a:p>
          <a:endParaRPr lang="en-GB" b="1">
            <a:latin typeface="+mn-lt"/>
          </a:endParaRPr>
        </a:p>
        <a:p>
          <a:r>
            <a:rPr lang="en-GB">
              <a:latin typeface="+mn-lt"/>
            </a:rPr>
            <a:t>If the test statistic is always positive (or zero), only the one-tailed test is generally applicable, while if the test statistic can assume positive and negative values, both the one-tailed and two-tailed test are of used</a:t>
          </a:r>
          <a:endParaRPr lang="en-GB" sz="1100">
            <a:latin typeface="+mn-lt"/>
          </a:endParaRPr>
        </a:p>
      </xdr:txBody>
    </xdr:sp>
    <xdr:clientData/>
  </xdr:twoCellAnchor>
  <xdr:twoCellAnchor>
    <xdr:from>
      <xdr:col>4</xdr:col>
      <xdr:colOff>409575</xdr:colOff>
      <xdr:row>21</xdr:row>
      <xdr:rowOff>68851</xdr:rowOff>
    </xdr:from>
    <xdr:to>
      <xdr:col>11</xdr:col>
      <xdr:colOff>140698</xdr:colOff>
      <xdr:row>30</xdr:row>
      <xdr:rowOff>174172</xdr:rowOff>
    </xdr:to>
    <xdr:sp macro="" textlink="">
      <xdr:nvSpPr>
        <xdr:cNvPr id="3" name="TextBox 2">
          <a:extLst>
            <a:ext uri="{FF2B5EF4-FFF2-40B4-BE49-F238E27FC236}">
              <a16:creationId xmlns:a16="http://schemas.microsoft.com/office/drawing/2014/main" id="{00000000-0008-0000-2700-000003000000}"/>
            </a:ext>
          </a:extLst>
        </xdr:cNvPr>
        <xdr:cNvSpPr txBox="1"/>
      </xdr:nvSpPr>
      <xdr:spPr>
        <a:xfrm>
          <a:off x="3825875" y="4094751"/>
          <a:ext cx="5852523" cy="1819821"/>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0">
              <a:latin typeface="+mn-lt"/>
            </a:rPr>
            <a:t>Use</a:t>
          </a:r>
          <a:r>
            <a:rPr lang="en-GB" sz="1100" b="0" baseline="0">
              <a:latin typeface="+mn-lt"/>
            </a:rPr>
            <a:t> a </a:t>
          </a:r>
          <a:r>
            <a:rPr lang="en-GB" sz="1100" b="1" baseline="0">
              <a:solidFill>
                <a:schemeClr val="accent1"/>
              </a:solidFill>
              <a:latin typeface="+mn-lt"/>
            </a:rPr>
            <a:t>2 sample t test</a:t>
          </a:r>
          <a:r>
            <a:rPr lang="en-GB" sz="1100" b="0" baseline="0">
              <a:latin typeface="+mn-lt"/>
            </a:rPr>
            <a:t> to check if the mean of your sample is the same as the mean of another sample - this is the null hypothesis - you should only use a t test if the sample data are normal, but it turns out that as long as the data are roughly symmetrical then the test will hold anyway. </a:t>
          </a:r>
        </a:p>
        <a:p>
          <a:endParaRPr lang="en-GB" sz="1100" b="0" baseline="0">
            <a:latin typeface="+mn-lt"/>
          </a:endParaRPr>
        </a:p>
        <a:p>
          <a:r>
            <a:rPr lang="en-GB" sz="1100" b="1" baseline="0">
              <a:latin typeface="+mn-lt"/>
            </a:rPr>
            <a:t>How do you check it is symmetrical?</a:t>
          </a:r>
        </a:p>
        <a:p>
          <a:r>
            <a:rPr lang="en-GB" sz="1100" b="0" baseline="0">
              <a:latin typeface="+mn-lt"/>
            </a:rPr>
            <a:t>1) Start with checking the mean and median if these are close then this is a good sign</a:t>
          </a:r>
        </a:p>
        <a:p>
          <a:r>
            <a:rPr lang="en-GB" sz="1100" b="0" baseline="0">
              <a:latin typeface="+mn-lt"/>
            </a:rPr>
            <a:t>2) Do a box plot is the distribution of the symmetrical?</a:t>
          </a:r>
        </a:p>
        <a:p>
          <a:r>
            <a:rPr lang="en-GB" sz="1100" b="0">
              <a:latin typeface="+mn-lt"/>
            </a:rPr>
            <a:t>3) Chart a histogram</a:t>
          </a:r>
        </a:p>
        <a:p>
          <a:r>
            <a:rPr lang="en-GB" sz="1100" b="0">
              <a:latin typeface="+mn-lt"/>
            </a:rPr>
            <a:t>All the above can be done on the graphical</a:t>
          </a:r>
          <a:r>
            <a:rPr lang="en-GB" sz="1100" b="0" baseline="0">
              <a:latin typeface="+mn-lt"/>
            </a:rPr>
            <a:t> summary sheet</a:t>
          </a:r>
          <a:endParaRPr lang="en-GB" sz="1100" b="0">
            <a:latin typeface="+mn-lt"/>
          </a:endParaRPr>
        </a:p>
      </xdr:txBody>
    </xdr:sp>
    <xdr:clientData/>
  </xdr:twoCellAnchor>
  <xdr:twoCellAnchor>
    <xdr:from>
      <xdr:col>13</xdr:col>
      <xdr:colOff>404132</xdr:colOff>
      <xdr:row>1</xdr:row>
      <xdr:rowOff>195943</xdr:rowOff>
    </xdr:from>
    <xdr:to>
      <xdr:col>18</xdr:col>
      <xdr:colOff>261258</xdr:colOff>
      <xdr:row>16</xdr:row>
      <xdr:rowOff>62593</xdr:rowOff>
    </xdr:to>
    <xdr:graphicFrame macro="">
      <xdr:nvGraphicFramePr>
        <xdr:cNvPr id="4" name="Chart 3">
          <a:extLst>
            <a:ext uri="{FF2B5EF4-FFF2-40B4-BE49-F238E27FC236}">
              <a16:creationId xmlns:a16="http://schemas.microsoft.com/office/drawing/2014/main" id="{00000000-0008-0000-2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7.xml><?xml version="1.0" encoding="utf-8"?>
<xdr:wsDr xmlns:xdr="http://schemas.openxmlformats.org/drawingml/2006/spreadsheetDrawing" xmlns:a="http://schemas.openxmlformats.org/drawingml/2006/main">
  <xdr:twoCellAnchor>
    <xdr:from>
      <xdr:col>2</xdr:col>
      <xdr:colOff>188595</xdr:colOff>
      <xdr:row>2</xdr:row>
      <xdr:rowOff>24765</xdr:rowOff>
    </xdr:from>
    <xdr:to>
      <xdr:col>10</xdr:col>
      <xdr:colOff>28575</xdr:colOff>
      <xdr:row>16</xdr:row>
      <xdr:rowOff>100965</xdr:rowOff>
    </xdr:to>
    <xdr:graphicFrame macro="">
      <xdr:nvGraphicFramePr>
        <xdr:cNvPr id="2" name="Chart 1">
          <a:extLst>
            <a:ext uri="{FF2B5EF4-FFF2-40B4-BE49-F238E27FC236}">
              <a16:creationId xmlns:a16="http://schemas.microsoft.com/office/drawing/2014/main" id="{00000000-0008-0000-2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266700</xdr:colOff>
      <xdr:row>20</xdr:row>
      <xdr:rowOff>146685</xdr:rowOff>
    </xdr:from>
    <xdr:to>
      <xdr:col>13</xdr:col>
      <xdr:colOff>480060</xdr:colOff>
      <xdr:row>31</xdr:row>
      <xdr:rowOff>152400</xdr:rowOff>
    </xdr:to>
    <xdr:sp macro="" textlink="">
      <xdr:nvSpPr>
        <xdr:cNvPr id="3" name="TextBox 2">
          <a:extLst>
            <a:ext uri="{FF2B5EF4-FFF2-40B4-BE49-F238E27FC236}">
              <a16:creationId xmlns:a16="http://schemas.microsoft.com/office/drawing/2014/main" id="{00000000-0008-0000-2800-000003000000}"/>
            </a:ext>
          </a:extLst>
        </xdr:cNvPr>
        <xdr:cNvSpPr txBox="1"/>
      </xdr:nvSpPr>
      <xdr:spPr>
        <a:xfrm>
          <a:off x="1905000" y="4194810"/>
          <a:ext cx="6814185" cy="2101215"/>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latin typeface="+mn-lt"/>
            </a:rPr>
            <a:t>Input X data</a:t>
          </a:r>
          <a:r>
            <a:rPr lang="en-GB" sz="1100" baseline="0">
              <a:latin typeface="+mn-lt"/>
            </a:rPr>
            <a:t> in column A and  Y data in column B.  Label the data clearly (with unit to make the graph better).</a:t>
          </a:r>
        </a:p>
        <a:p>
          <a:r>
            <a:rPr lang="en-GB" sz="1100" baseline="0">
              <a:latin typeface="+mn-lt"/>
            </a:rPr>
            <a:t>The calculations of the test and graph will update.</a:t>
          </a:r>
        </a:p>
        <a:p>
          <a:r>
            <a:rPr lang="en-GB" sz="1100" baseline="0">
              <a:latin typeface="+mn-lt"/>
            </a:rPr>
            <a:t>Should you need to change the alpha risk, you will also need to change the formula for the coefficient and p-value.</a:t>
          </a:r>
        </a:p>
        <a:p>
          <a:endParaRPr lang="en-GB" sz="1100" baseline="0">
            <a:latin typeface="+mn-lt"/>
          </a:endParaRPr>
        </a:p>
        <a:p>
          <a:r>
            <a:rPr lang="en-GB" sz="1100">
              <a:latin typeface="+mn-lt"/>
            </a:rPr>
            <a:t>Using a </a:t>
          </a:r>
          <a:r>
            <a:rPr lang="en-GB" sz="1100" b="1">
              <a:solidFill>
                <a:schemeClr val="accent1"/>
              </a:solidFill>
              <a:latin typeface="+mn-lt"/>
            </a:rPr>
            <a:t>scatter plot </a:t>
          </a:r>
          <a:r>
            <a:rPr lang="en-GB" sz="1100">
              <a:latin typeface="+mn-lt"/>
            </a:rPr>
            <a:t>can be useful to see if there is a relationship between two variables.</a:t>
          </a:r>
          <a:r>
            <a:rPr lang="en-GB" sz="1100" baseline="0">
              <a:latin typeface="+mn-lt"/>
            </a:rPr>
            <a:t> </a:t>
          </a:r>
        </a:p>
        <a:p>
          <a:endParaRPr lang="en-GB" sz="1100" baseline="0">
            <a:latin typeface="+mn-lt"/>
          </a:endParaRPr>
        </a:p>
        <a:p>
          <a:r>
            <a:rPr lang="en-GB" sz="1100" baseline="0">
              <a:latin typeface="+mn-lt"/>
            </a:rPr>
            <a:t>However just because there is a </a:t>
          </a:r>
          <a:r>
            <a:rPr lang="en-GB" sz="1100" u="sng" baseline="0">
              <a:latin typeface="+mn-lt"/>
            </a:rPr>
            <a:t>relationship</a:t>
          </a:r>
          <a:r>
            <a:rPr lang="en-GB" sz="1100" baseline="0">
              <a:latin typeface="+mn-lt"/>
            </a:rPr>
            <a:t> between two variables does not mean there is </a:t>
          </a:r>
          <a:r>
            <a:rPr lang="en-GB" sz="1100" u="none" baseline="0">
              <a:latin typeface="+mn-lt"/>
            </a:rPr>
            <a:t>a cause and effect.  But this is the first step to understanding if there is a relationship and if there might be a cause and effect.</a:t>
          </a:r>
        </a:p>
        <a:p>
          <a:endParaRPr lang="en-GB" sz="1100" u="none" baseline="0">
            <a:latin typeface="+mn-lt"/>
          </a:endParaRPr>
        </a:p>
        <a:p>
          <a:r>
            <a:rPr lang="en-GB" sz="1100" u="none" baseline="0">
              <a:latin typeface="+mn-lt"/>
            </a:rPr>
            <a:t>The Coefficient of Correlation r (will be between -1 and +1) show the direction and strength of relationship between the 2 variables.</a:t>
          </a:r>
          <a:endParaRPr lang="en-GB" sz="1100" u="sng">
            <a:latin typeface="+mn-lt"/>
          </a:endParaRP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4</xdr:col>
      <xdr:colOff>400049</xdr:colOff>
      <xdr:row>0</xdr:row>
      <xdr:rowOff>232408</xdr:rowOff>
    </xdr:from>
    <xdr:to>
      <xdr:col>11</xdr:col>
      <xdr:colOff>219074</xdr:colOff>
      <xdr:row>19</xdr:row>
      <xdr:rowOff>95250</xdr:rowOff>
    </xdr:to>
    <xdr:sp macro="" textlink="">
      <xdr:nvSpPr>
        <xdr:cNvPr id="3" name="TextBox 2">
          <a:extLst>
            <a:ext uri="{FF2B5EF4-FFF2-40B4-BE49-F238E27FC236}">
              <a16:creationId xmlns:a16="http://schemas.microsoft.com/office/drawing/2014/main" id="{00000000-0008-0000-2900-000003000000}"/>
            </a:ext>
          </a:extLst>
        </xdr:cNvPr>
        <xdr:cNvSpPr txBox="1"/>
      </xdr:nvSpPr>
      <xdr:spPr>
        <a:xfrm>
          <a:off x="3324224" y="232408"/>
          <a:ext cx="7000875" cy="4101467"/>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b="1">
              <a:latin typeface="+mn-lt"/>
            </a:rPr>
            <a:t>How to Use</a:t>
          </a:r>
        </a:p>
        <a:p>
          <a:r>
            <a:rPr lang="en-GB" sz="1100">
              <a:latin typeface="+mn-lt"/>
            </a:rPr>
            <a:t>Enter the</a:t>
          </a:r>
          <a:r>
            <a:rPr lang="en-GB" sz="1100" baseline="0">
              <a:latin typeface="+mn-lt"/>
            </a:rPr>
            <a:t> response data (Y) in column A.  Enter the factors data (Xs) in column B &amp; onward (data below in columns F onward  is for illustration and should be deleted.  Label the columns clearly to make the output tables easier to read.</a:t>
          </a:r>
        </a:p>
        <a:p>
          <a:r>
            <a:rPr lang="en-GB" sz="1100" baseline="0">
              <a:latin typeface="+mn-lt"/>
            </a:rPr>
            <a:t>Go to Data &gt; Data Analysis &gt; Regression &gt; </a:t>
          </a:r>
        </a:p>
        <a:p>
          <a:r>
            <a:rPr lang="en-GB" sz="1100" baseline="0">
              <a:latin typeface="+mn-lt"/>
            </a:rPr>
            <a:t>  1) Enter the exact cell range for your Y and X data with the header row (start at $A$3 and $B$3)</a:t>
          </a:r>
        </a:p>
        <a:p>
          <a:r>
            <a:rPr lang="en-GB" sz="1100" baseline="0">
              <a:latin typeface="+mn-lt"/>
            </a:rPr>
            <a:t>  2) Tick 'Labels' option so the tool picks your labels on row 3.  Leave the confidence interval at 95%  (=  alpha 0.05)</a:t>
          </a:r>
        </a:p>
        <a:p>
          <a:r>
            <a:rPr lang="en-GB" sz="1100" baseline="0">
              <a:latin typeface="+mn-lt"/>
            </a:rPr>
            <a:t>  3) Tick the 'Output rang' option and specify the top left hand cell e.g. F24; click OK</a:t>
          </a:r>
        </a:p>
        <a:p>
          <a:endParaRPr lang="en-GB" sz="1100" baseline="0">
            <a:latin typeface="+mn-lt"/>
          </a:endParaRPr>
        </a:p>
        <a:p>
          <a:r>
            <a:rPr lang="en-GB" sz="1100" baseline="0">
              <a:latin typeface="+mn-lt"/>
            </a:rPr>
            <a:t>MS Excel will create the Summary output, including the Anova and Analysis of Factors tables.</a:t>
          </a:r>
        </a:p>
        <a:p>
          <a:r>
            <a:rPr lang="en-GB" sz="1100" baseline="0">
              <a:latin typeface="+mn-lt"/>
            </a:rPr>
            <a:t>Consider formating the numbers to have only 3 digits after the decimal point to make it easier to read (exclude integers number).  The Upper and Lower CI of the coefficient for each factor is repeated (just ignore, this is a bug).</a:t>
          </a:r>
        </a:p>
        <a:p>
          <a:r>
            <a:rPr lang="en-GB" sz="1100" baseline="0">
              <a:latin typeface="+mn-lt"/>
            </a:rPr>
            <a:t>Analyse with care; if applicable re-run without the factors with high p-value to increase the adjusted R-sq. of your model (see training).</a:t>
          </a:r>
        </a:p>
        <a:p>
          <a:endParaRPr lang="en-GB" sz="1100" baseline="0">
            <a:latin typeface="+mn-lt"/>
          </a:endParaRPr>
        </a:p>
        <a:p>
          <a:r>
            <a:rPr lang="en-GB" sz="1100" b="1" baseline="0">
              <a:latin typeface="+mn-lt"/>
            </a:rPr>
            <a:t>Assumptions: </a:t>
          </a:r>
        </a:p>
        <a:p>
          <a:r>
            <a:rPr lang="en-GB" sz="1100" b="0" baseline="0">
              <a:latin typeface="+mn-lt"/>
            </a:rPr>
            <a:t>The </a:t>
          </a:r>
          <a:r>
            <a:rPr lang="en-GB" sz="1100" baseline="0">
              <a:latin typeface="+mn-lt"/>
            </a:rPr>
            <a:t>analysed process follow a liner model; the Y data is normally distributed and your model includes independent variables.  Should you have factors closely related, you may have confounding, and your actual adjusted R-sq. is likely significantly less.</a:t>
          </a:r>
        </a:p>
        <a:p>
          <a:endParaRPr lang="en-GB" sz="1100" baseline="0">
            <a:latin typeface="+mn-lt"/>
          </a:endParaRPr>
        </a:p>
        <a:p>
          <a:r>
            <a:rPr lang="en-GB" sz="1100">
              <a:latin typeface="+mn-lt"/>
            </a:rPr>
            <a:t>A </a:t>
          </a:r>
          <a:r>
            <a:rPr lang="en-GB" sz="1100" b="1">
              <a:solidFill>
                <a:schemeClr val="accent1"/>
              </a:solidFill>
              <a:latin typeface="+mn-lt"/>
            </a:rPr>
            <a:t>scatter plot </a:t>
          </a:r>
          <a:r>
            <a:rPr lang="en-GB" sz="1100">
              <a:latin typeface="+mn-lt"/>
            </a:rPr>
            <a:t>can be useful to see if there is a relationship between two variables</a:t>
          </a:r>
          <a:r>
            <a:rPr lang="en-GB" sz="1100" baseline="0">
              <a:latin typeface="+mn-lt"/>
            </a:rPr>
            <a:t> at a time</a:t>
          </a:r>
        </a:p>
        <a:p>
          <a:r>
            <a:rPr lang="en-GB" sz="1100" baseline="0">
              <a:latin typeface="+mn-lt"/>
            </a:rPr>
            <a:t>However just because there is a </a:t>
          </a:r>
          <a:r>
            <a:rPr lang="en-GB" sz="1100" u="sng" baseline="0">
              <a:latin typeface="+mn-lt"/>
            </a:rPr>
            <a:t>relationship</a:t>
          </a:r>
          <a:r>
            <a:rPr lang="en-GB" sz="1100" baseline="0">
              <a:latin typeface="+mn-lt"/>
            </a:rPr>
            <a:t> between two variables does not mean there is </a:t>
          </a:r>
          <a:r>
            <a:rPr lang="en-GB" sz="1100" u="none" baseline="0">
              <a:latin typeface="+mn-lt"/>
            </a:rPr>
            <a:t>a cause and effect.</a:t>
          </a:r>
        </a:p>
        <a:p>
          <a:r>
            <a:rPr lang="en-GB" sz="1100" u="none" baseline="0">
              <a:latin typeface="+mn-lt"/>
            </a:rPr>
            <a:t>Use the Coefficient of Correlation r and p-value to assess the direction and strength of relationship between the 2 variables.</a:t>
          </a:r>
          <a:endParaRPr lang="en-GB" sz="1100" u="sng">
            <a:latin typeface="+mn-lt"/>
          </a:endParaRPr>
        </a:p>
      </xdr:txBody>
    </xdr:sp>
    <xdr:clientData/>
  </xdr:twoCellAnchor>
  <xdr:twoCellAnchor>
    <xdr:from>
      <xdr:col>22</xdr:col>
      <xdr:colOff>21498</xdr:colOff>
      <xdr:row>16</xdr:row>
      <xdr:rowOff>152127</xdr:rowOff>
    </xdr:from>
    <xdr:to>
      <xdr:col>28</xdr:col>
      <xdr:colOff>19593</xdr:colOff>
      <xdr:row>26</xdr:row>
      <xdr:rowOff>161652</xdr:rowOff>
    </xdr:to>
    <xdr:graphicFrame macro="">
      <xdr:nvGraphicFramePr>
        <xdr:cNvPr id="2" name="Chart 1">
          <a:extLst>
            <a:ext uri="{FF2B5EF4-FFF2-40B4-BE49-F238E27FC236}">
              <a16:creationId xmlns:a16="http://schemas.microsoft.com/office/drawing/2014/main" id="{00000000-0008-0000-29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21</xdr:col>
      <xdr:colOff>561975</xdr:colOff>
      <xdr:row>27</xdr:row>
      <xdr:rowOff>163014</xdr:rowOff>
    </xdr:from>
    <xdr:to>
      <xdr:col>27</xdr:col>
      <xdr:colOff>560070</xdr:colOff>
      <xdr:row>37</xdr:row>
      <xdr:rowOff>164919</xdr:rowOff>
    </xdr:to>
    <xdr:graphicFrame macro="">
      <xdr:nvGraphicFramePr>
        <xdr:cNvPr id="4" name="Chart 3">
          <a:extLst>
            <a:ext uri="{FF2B5EF4-FFF2-40B4-BE49-F238E27FC236}">
              <a16:creationId xmlns:a16="http://schemas.microsoft.com/office/drawing/2014/main" id="{00000000-0008-0000-29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22</xdr:col>
      <xdr:colOff>50346</xdr:colOff>
      <xdr:row>38</xdr:row>
      <xdr:rowOff>184785</xdr:rowOff>
    </xdr:from>
    <xdr:to>
      <xdr:col>28</xdr:col>
      <xdr:colOff>48442</xdr:colOff>
      <xdr:row>49</xdr:row>
      <xdr:rowOff>273</xdr:rowOff>
    </xdr:to>
    <xdr:graphicFrame macro="">
      <xdr:nvGraphicFramePr>
        <xdr:cNvPr id="5" name="Chart 4">
          <a:extLst>
            <a:ext uri="{FF2B5EF4-FFF2-40B4-BE49-F238E27FC236}">
              <a16:creationId xmlns:a16="http://schemas.microsoft.com/office/drawing/2014/main" id="{00000000-0008-0000-29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15</xdr:col>
      <xdr:colOff>259081</xdr:colOff>
      <xdr:row>16</xdr:row>
      <xdr:rowOff>139338</xdr:rowOff>
    </xdr:from>
    <xdr:to>
      <xdr:col>21</xdr:col>
      <xdr:colOff>257176</xdr:colOff>
      <xdr:row>26</xdr:row>
      <xdr:rowOff>152673</xdr:rowOff>
    </xdr:to>
    <xdr:graphicFrame macro="">
      <xdr:nvGraphicFramePr>
        <xdr:cNvPr id="6" name="Chart 5">
          <a:extLst>
            <a:ext uri="{FF2B5EF4-FFF2-40B4-BE49-F238E27FC236}">
              <a16:creationId xmlns:a16="http://schemas.microsoft.com/office/drawing/2014/main" id="{00000000-0008-0000-29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15</xdr:col>
      <xdr:colOff>289833</xdr:colOff>
      <xdr:row>28</xdr:row>
      <xdr:rowOff>10614</xdr:rowOff>
    </xdr:from>
    <xdr:to>
      <xdr:col>21</xdr:col>
      <xdr:colOff>287928</xdr:colOff>
      <xdr:row>38</xdr:row>
      <xdr:rowOff>22043</xdr:rowOff>
    </xdr:to>
    <xdr:graphicFrame macro="">
      <xdr:nvGraphicFramePr>
        <xdr:cNvPr id="7" name="Chart 6">
          <a:extLst>
            <a:ext uri="{FF2B5EF4-FFF2-40B4-BE49-F238E27FC236}">
              <a16:creationId xmlns:a16="http://schemas.microsoft.com/office/drawing/2014/main" id="{00000000-0008-0000-29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15</xdr:col>
      <xdr:colOff>322489</xdr:colOff>
      <xdr:row>39</xdr:row>
      <xdr:rowOff>38099</xdr:rowOff>
    </xdr:from>
    <xdr:to>
      <xdr:col>21</xdr:col>
      <xdr:colOff>320585</xdr:colOff>
      <xdr:row>49</xdr:row>
      <xdr:rowOff>43815</xdr:rowOff>
    </xdr:to>
    <xdr:graphicFrame macro="">
      <xdr:nvGraphicFramePr>
        <xdr:cNvPr id="8" name="Chart 7">
          <a:extLst>
            <a:ext uri="{FF2B5EF4-FFF2-40B4-BE49-F238E27FC236}">
              <a16:creationId xmlns:a16="http://schemas.microsoft.com/office/drawing/2014/main" id="{00000000-0008-0000-29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8</xdr:col>
      <xdr:colOff>378822</xdr:colOff>
      <xdr:row>21</xdr:row>
      <xdr:rowOff>94434</xdr:rowOff>
    </xdr:from>
    <xdr:to>
      <xdr:col>11</xdr:col>
      <xdr:colOff>453117</xdr:colOff>
      <xdr:row>31</xdr:row>
      <xdr:rowOff>94434</xdr:rowOff>
    </xdr:to>
    <xdr:graphicFrame macro="">
      <xdr:nvGraphicFramePr>
        <xdr:cNvPr id="9" name="Chart 8">
          <a:extLst>
            <a:ext uri="{FF2B5EF4-FFF2-40B4-BE49-F238E27FC236}">
              <a16:creationId xmlns:a16="http://schemas.microsoft.com/office/drawing/2014/main" id="{00000000-0008-0000-29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7</xdr:col>
      <xdr:colOff>603250</xdr:colOff>
      <xdr:row>0</xdr:row>
      <xdr:rowOff>161924</xdr:rowOff>
    </xdr:from>
    <xdr:to>
      <xdr:col>16</xdr:col>
      <xdr:colOff>619125</xdr:colOff>
      <xdr:row>8</xdr:row>
      <xdr:rowOff>148166</xdr:rowOff>
    </xdr:to>
    <xdr:sp macro="" textlink="">
      <xdr:nvSpPr>
        <xdr:cNvPr id="2" name="TextBox 1">
          <a:extLst>
            <a:ext uri="{FF2B5EF4-FFF2-40B4-BE49-F238E27FC236}">
              <a16:creationId xmlns:a16="http://schemas.microsoft.com/office/drawing/2014/main" id="{00000000-0008-0000-2A00-000002000000}"/>
            </a:ext>
          </a:extLst>
        </xdr:cNvPr>
        <xdr:cNvSpPr txBox="1"/>
      </xdr:nvSpPr>
      <xdr:spPr>
        <a:xfrm>
          <a:off x="4826000" y="161924"/>
          <a:ext cx="5847292" cy="1213909"/>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a:latin typeface="+mn-lt"/>
            </a:rPr>
            <a:t>For</a:t>
          </a:r>
          <a:r>
            <a:rPr lang="en-GB" sz="1200" baseline="0">
              <a:latin typeface="+mn-lt"/>
            </a:rPr>
            <a:t> a random sample this calculates the 95% confidence interval.</a:t>
          </a:r>
        </a:p>
        <a:p>
          <a:r>
            <a:rPr lang="en-GB" sz="1200" baseline="0">
              <a:latin typeface="+mn-lt"/>
            </a:rPr>
            <a:t>e.g.</a:t>
          </a:r>
          <a:r>
            <a:rPr lang="en-GB" sz="1200">
              <a:latin typeface="+mn-lt"/>
            </a:rPr>
            <a:t> If 25% of customers say 'yes' in a random sample of 100 customers the 95% confidence interval</a:t>
          </a:r>
          <a:r>
            <a:rPr lang="en-GB" sz="1200" baseline="0">
              <a:latin typeface="+mn-lt"/>
            </a:rPr>
            <a:t> is 16.3% - 33.7%.  This means you can be 95% sure that the </a:t>
          </a:r>
          <a:r>
            <a:rPr lang="en-GB" sz="1200" i="1" baseline="0">
              <a:latin typeface="+mn-lt"/>
            </a:rPr>
            <a:t>population</a:t>
          </a:r>
          <a:r>
            <a:rPr lang="en-GB" sz="1200" baseline="0">
              <a:latin typeface="+mn-lt"/>
            </a:rPr>
            <a:t> would score 'yes' between 16.3% and 33.7% of the time.</a:t>
          </a:r>
        </a:p>
        <a:p>
          <a:r>
            <a:rPr lang="en-GB" sz="1200" baseline="0">
              <a:latin typeface="+mn-lt"/>
            </a:rPr>
            <a:t>Generally, larger samples  </a:t>
          </a:r>
          <a:r>
            <a:rPr lang="en-GB" sz="1200" baseline="0">
              <a:solidFill>
                <a:schemeClr val="dk1"/>
              </a:solidFill>
              <a:effectLst/>
              <a:latin typeface="+mn-lt"/>
              <a:ea typeface="+mn-ea"/>
              <a:cs typeface="+mn-cs"/>
            </a:rPr>
            <a:t>and extreme results </a:t>
          </a:r>
          <a:r>
            <a:rPr lang="en-GB" sz="1200" baseline="0">
              <a:latin typeface="+mn-lt"/>
            </a:rPr>
            <a:t>reduce the size of the confidence interval.</a:t>
          </a:r>
        </a:p>
        <a:p>
          <a:r>
            <a:rPr lang="en-GB" sz="1200" baseline="0">
              <a:solidFill>
                <a:srgbClr val="FF0000"/>
              </a:solidFill>
              <a:latin typeface="+mn-lt"/>
            </a:rPr>
            <a:t>Only valid for normally distributed data</a:t>
          </a:r>
          <a:endParaRPr lang="en-GB" sz="1200" b="1">
            <a:solidFill>
              <a:srgbClr val="FF0000"/>
            </a:solidFill>
            <a:latin typeface="+mn-lt"/>
          </a:endParaRPr>
        </a:p>
      </xdr:txBody>
    </xdr:sp>
    <xdr:clientData/>
  </xdr:twoCellAnchor>
  <xdr:twoCellAnchor>
    <xdr:from>
      <xdr:col>0</xdr:col>
      <xdr:colOff>655320</xdr:colOff>
      <xdr:row>20</xdr:row>
      <xdr:rowOff>15239</xdr:rowOff>
    </xdr:from>
    <xdr:to>
      <xdr:col>5</xdr:col>
      <xdr:colOff>502920</xdr:colOff>
      <xdr:row>33</xdr:row>
      <xdr:rowOff>0</xdr:rowOff>
    </xdr:to>
    <xdr:sp macro="" textlink="">
      <xdr:nvSpPr>
        <xdr:cNvPr id="3" name="TextBox 2">
          <a:extLst>
            <a:ext uri="{FF2B5EF4-FFF2-40B4-BE49-F238E27FC236}">
              <a16:creationId xmlns:a16="http://schemas.microsoft.com/office/drawing/2014/main" id="{00000000-0008-0000-2A00-000003000000}"/>
            </a:ext>
          </a:extLst>
        </xdr:cNvPr>
        <xdr:cNvSpPr txBox="1"/>
      </xdr:nvSpPr>
      <xdr:spPr>
        <a:xfrm>
          <a:off x="655320" y="3406139"/>
          <a:ext cx="3873500" cy="2346961"/>
        </a:xfrm>
        <a:prstGeom prst="rect">
          <a:avLst/>
        </a:prstGeom>
        <a:solidFill>
          <a:schemeClr val="bg1">
            <a:lumMod val="9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a:latin typeface="+mn-lt"/>
            </a:rPr>
            <a:t>What is a confidence interval?</a:t>
          </a:r>
        </a:p>
        <a:p>
          <a:r>
            <a:rPr lang="en-GB" sz="1200">
              <a:latin typeface="+mn-lt"/>
            </a:rPr>
            <a:t>When you sample a population you get a result, the confidence interval tells you the range of results you could expect if</a:t>
          </a:r>
          <a:r>
            <a:rPr lang="en-GB" sz="1200" baseline="0">
              <a:latin typeface="+mn-lt"/>
            </a:rPr>
            <a:t> you sampled a different set of people in the population - i.e. how representative the sample you took is.</a:t>
          </a:r>
        </a:p>
        <a:p>
          <a:endParaRPr lang="en-GB" sz="1200" baseline="0">
            <a:latin typeface="+mn-lt"/>
          </a:endParaRPr>
        </a:p>
        <a:p>
          <a:r>
            <a:rPr lang="en-GB" sz="1200" baseline="0">
              <a:latin typeface="+mn-lt"/>
            </a:rPr>
            <a:t>the confidence level i.e. 95% basically tells you how often your confidence interval is valid, i.e. if you took a sample and calculated the 95% confidence interval you could expect sampling other samples to give a result within the confidence interval you calculated 95% of the time</a:t>
          </a:r>
        </a:p>
      </xdr:txBody>
    </xdr:sp>
    <xdr:clientData/>
  </xdr:twoCellAnchor>
  <xdr:twoCellAnchor editAs="oneCell">
    <xdr:from>
      <xdr:col>5</xdr:col>
      <xdr:colOff>529166</xdr:colOff>
      <xdr:row>12</xdr:row>
      <xdr:rowOff>127000</xdr:rowOff>
    </xdr:from>
    <xdr:to>
      <xdr:col>8</xdr:col>
      <xdr:colOff>584648</xdr:colOff>
      <xdr:row>16</xdr:row>
      <xdr:rowOff>61545</xdr:rowOff>
    </xdr:to>
    <xdr:pic>
      <xdr:nvPicPr>
        <xdr:cNvPr id="4" name="Picture 3">
          <a:extLst>
            <a:ext uri="{FF2B5EF4-FFF2-40B4-BE49-F238E27FC236}">
              <a16:creationId xmlns:a16="http://schemas.microsoft.com/office/drawing/2014/main" id="{00000000-0008-0000-2A00-000004000000}"/>
            </a:ext>
          </a:extLst>
        </xdr:cNvPr>
        <xdr:cNvPicPr>
          <a:picLocks noChangeAspect="1"/>
        </xdr:cNvPicPr>
      </xdr:nvPicPr>
      <xdr:blipFill>
        <a:blip xmlns:r="http://schemas.openxmlformats.org/officeDocument/2006/relationships" r:embed="rId1"/>
        <a:stretch>
          <a:fillRect/>
        </a:stretch>
      </xdr:blipFill>
      <xdr:spPr>
        <a:xfrm>
          <a:off x="4042833" y="2000250"/>
          <a:ext cx="1388982" cy="569545"/>
        </a:xfrm>
        <a:prstGeom prst="rect">
          <a:avLst/>
        </a:prstGeom>
      </xdr:spPr>
    </xdr:pic>
    <xdr:clientData/>
  </xdr:twoCellAnchor>
  <xdr:twoCellAnchor editAs="oneCell">
    <xdr:from>
      <xdr:col>5</xdr:col>
      <xdr:colOff>409575</xdr:colOff>
      <xdr:row>25</xdr:row>
      <xdr:rowOff>142875</xdr:rowOff>
    </xdr:from>
    <xdr:to>
      <xdr:col>8</xdr:col>
      <xdr:colOff>591636</xdr:colOff>
      <xdr:row>27</xdr:row>
      <xdr:rowOff>61547</xdr:rowOff>
    </xdr:to>
    <xdr:pic>
      <xdr:nvPicPr>
        <xdr:cNvPr id="5" name="Picture 4">
          <a:extLst>
            <a:ext uri="{FF2B5EF4-FFF2-40B4-BE49-F238E27FC236}">
              <a16:creationId xmlns:a16="http://schemas.microsoft.com/office/drawing/2014/main" id="{00000000-0008-0000-2A00-000005000000}"/>
            </a:ext>
          </a:extLst>
        </xdr:cNvPr>
        <xdr:cNvPicPr>
          <a:picLocks noChangeAspect="1"/>
        </xdr:cNvPicPr>
      </xdr:nvPicPr>
      <xdr:blipFill>
        <a:blip xmlns:r="http://schemas.openxmlformats.org/officeDocument/2006/relationships" r:embed="rId2"/>
        <a:stretch>
          <a:fillRect/>
        </a:stretch>
      </xdr:blipFill>
      <xdr:spPr>
        <a:xfrm>
          <a:off x="3923242" y="4111625"/>
          <a:ext cx="1515561" cy="236172"/>
        </a:xfrm>
        <a:prstGeom prst="rect">
          <a:avLst/>
        </a:prstGeom>
      </xdr:spPr>
    </xdr:pic>
    <xdr:clientData/>
  </xdr:twoCellAnchor>
  <xdr:twoCellAnchor editAs="oneCell">
    <xdr:from>
      <xdr:col>5</xdr:col>
      <xdr:colOff>381000</xdr:colOff>
      <xdr:row>38</xdr:row>
      <xdr:rowOff>133350</xdr:rowOff>
    </xdr:from>
    <xdr:to>
      <xdr:col>8</xdr:col>
      <xdr:colOff>584648</xdr:colOff>
      <xdr:row>40</xdr:row>
      <xdr:rowOff>45670</xdr:rowOff>
    </xdr:to>
    <xdr:pic>
      <xdr:nvPicPr>
        <xdr:cNvPr id="6" name="Picture 5">
          <a:extLst>
            <a:ext uri="{FF2B5EF4-FFF2-40B4-BE49-F238E27FC236}">
              <a16:creationId xmlns:a16="http://schemas.microsoft.com/office/drawing/2014/main" id="{00000000-0008-0000-2A00-000006000000}"/>
            </a:ext>
          </a:extLst>
        </xdr:cNvPr>
        <xdr:cNvPicPr>
          <a:picLocks noChangeAspect="1"/>
        </xdr:cNvPicPr>
      </xdr:nvPicPr>
      <xdr:blipFill>
        <a:blip xmlns:r="http://schemas.openxmlformats.org/officeDocument/2006/relationships" r:embed="rId3"/>
        <a:stretch>
          <a:fillRect/>
        </a:stretch>
      </xdr:blipFill>
      <xdr:spPr>
        <a:xfrm>
          <a:off x="4406900" y="6864350"/>
          <a:ext cx="1685738" cy="278080"/>
        </a:xfrm>
        <a:prstGeom prst="rect">
          <a:avLst/>
        </a:prstGeom>
      </xdr:spPr>
    </xdr:pic>
    <xdr:clientData/>
  </xdr:twoCellAnchor>
  <xdr:twoCellAnchor editAs="oneCell">
    <xdr:from>
      <xdr:col>5</xdr:col>
      <xdr:colOff>304800</xdr:colOff>
      <xdr:row>51</xdr:row>
      <xdr:rowOff>76200</xdr:rowOff>
    </xdr:from>
    <xdr:to>
      <xdr:col>8</xdr:col>
      <xdr:colOff>495114</xdr:colOff>
      <xdr:row>53</xdr:row>
      <xdr:rowOff>27892</xdr:rowOff>
    </xdr:to>
    <xdr:pic>
      <xdr:nvPicPr>
        <xdr:cNvPr id="7" name="Picture 6">
          <a:extLst>
            <a:ext uri="{FF2B5EF4-FFF2-40B4-BE49-F238E27FC236}">
              <a16:creationId xmlns:a16="http://schemas.microsoft.com/office/drawing/2014/main" id="{00000000-0008-0000-2A00-000007000000}"/>
            </a:ext>
          </a:extLst>
        </xdr:cNvPr>
        <xdr:cNvPicPr>
          <a:picLocks noChangeAspect="1"/>
        </xdr:cNvPicPr>
      </xdr:nvPicPr>
      <xdr:blipFill>
        <a:blip xmlns:r="http://schemas.openxmlformats.org/officeDocument/2006/relationships" r:embed="rId4"/>
        <a:stretch>
          <a:fillRect/>
        </a:stretch>
      </xdr:blipFill>
      <xdr:spPr>
        <a:xfrm>
          <a:off x="4330700" y="9398000"/>
          <a:ext cx="1676214" cy="309832"/>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xdr:from>
      <xdr:col>2</xdr:col>
      <xdr:colOff>0</xdr:colOff>
      <xdr:row>4</xdr:row>
      <xdr:rowOff>0</xdr:rowOff>
    </xdr:from>
    <xdr:to>
      <xdr:col>2</xdr:col>
      <xdr:colOff>2343150</xdr:colOff>
      <xdr:row>4</xdr:row>
      <xdr:rowOff>685800</xdr:rowOff>
    </xdr:to>
    <xdr:sp macro="" textlink="">
      <xdr:nvSpPr>
        <xdr:cNvPr id="3" name="Right Arrow 2">
          <a:extLst>
            <a:ext uri="{FF2B5EF4-FFF2-40B4-BE49-F238E27FC236}">
              <a16:creationId xmlns:a16="http://schemas.microsoft.com/office/drawing/2014/main" id="{00000000-0008-0000-2C00-000003000000}"/>
            </a:ext>
          </a:extLst>
        </xdr:cNvPr>
        <xdr:cNvSpPr/>
      </xdr:nvSpPr>
      <xdr:spPr>
        <a:xfrm>
          <a:off x="561975" y="2114550"/>
          <a:ext cx="2343150" cy="685800"/>
        </a:xfrm>
        <a:prstGeom prst="rightArrow">
          <a:avLst>
            <a:gd name="adj1" fmla="val 72642"/>
            <a:gd name="adj2" fmla="val 50000"/>
          </a:avLst>
        </a:prstGeom>
        <a:gradFill flip="none" rotWithShape="1">
          <a:gsLst>
            <a:gs pos="0">
              <a:srgbClr val="66FF66">
                <a:shade val="30000"/>
                <a:satMod val="115000"/>
              </a:srgbClr>
            </a:gs>
            <a:gs pos="50000">
              <a:srgbClr val="66FF66">
                <a:shade val="67500"/>
                <a:satMod val="115000"/>
              </a:srgbClr>
            </a:gs>
            <a:gs pos="100000">
              <a:srgbClr val="66FF66">
                <a:shade val="100000"/>
                <a:satMod val="115000"/>
              </a:srgbClr>
            </a:gs>
          </a:gsLst>
          <a:lin ang="0" scaled="1"/>
          <a:tileRect/>
        </a:gradFill>
        <a:ln w="1270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2</xdr:col>
      <xdr:colOff>0</xdr:colOff>
      <xdr:row>5</xdr:row>
      <xdr:rowOff>0</xdr:rowOff>
    </xdr:from>
    <xdr:to>
      <xdr:col>2</xdr:col>
      <xdr:colOff>2343150</xdr:colOff>
      <xdr:row>5</xdr:row>
      <xdr:rowOff>685800</xdr:rowOff>
    </xdr:to>
    <xdr:sp macro="" textlink="">
      <xdr:nvSpPr>
        <xdr:cNvPr id="4" name="Right Arrow 3">
          <a:extLst>
            <a:ext uri="{FF2B5EF4-FFF2-40B4-BE49-F238E27FC236}">
              <a16:creationId xmlns:a16="http://schemas.microsoft.com/office/drawing/2014/main" id="{00000000-0008-0000-2C00-000004000000}"/>
            </a:ext>
          </a:extLst>
        </xdr:cNvPr>
        <xdr:cNvSpPr/>
      </xdr:nvSpPr>
      <xdr:spPr>
        <a:xfrm>
          <a:off x="561975" y="2819400"/>
          <a:ext cx="2343150" cy="685800"/>
        </a:xfrm>
        <a:prstGeom prst="rightArrow">
          <a:avLst>
            <a:gd name="adj1" fmla="val 72642"/>
            <a:gd name="adj2" fmla="val 50000"/>
          </a:avLst>
        </a:prstGeom>
        <a:gradFill flip="none" rotWithShape="1">
          <a:gsLst>
            <a:gs pos="0">
              <a:srgbClr val="66FF66">
                <a:shade val="30000"/>
                <a:satMod val="115000"/>
              </a:srgbClr>
            </a:gs>
            <a:gs pos="50000">
              <a:srgbClr val="66FF66">
                <a:shade val="67500"/>
                <a:satMod val="115000"/>
              </a:srgbClr>
            </a:gs>
            <a:gs pos="100000">
              <a:srgbClr val="66FF66">
                <a:shade val="100000"/>
                <a:satMod val="115000"/>
              </a:srgbClr>
            </a:gs>
          </a:gsLst>
          <a:lin ang="0" scaled="1"/>
          <a:tileRect/>
        </a:gradFill>
        <a:ln w="1270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2</xdr:col>
      <xdr:colOff>0</xdr:colOff>
      <xdr:row>6</xdr:row>
      <xdr:rowOff>0</xdr:rowOff>
    </xdr:from>
    <xdr:to>
      <xdr:col>2</xdr:col>
      <xdr:colOff>2343150</xdr:colOff>
      <xdr:row>6</xdr:row>
      <xdr:rowOff>685800</xdr:rowOff>
    </xdr:to>
    <xdr:sp macro="" textlink="">
      <xdr:nvSpPr>
        <xdr:cNvPr id="5" name="Right Arrow 4">
          <a:extLst>
            <a:ext uri="{FF2B5EF4-FFF2-40B4-BE49-F238E27FC236}">
              <a16:creationId xmlns:a16="http://schemas.microsoft.com/office/drawing/2014/main" id="{00000000-0008-0000-2C00-000005000000}"/>
            </a:ext>
          </a:extLst>
        </xdr:cNvPr>
        <xdr:cNvSpPr/>
      </xdr:nvSpPr>
      <xdr:spPr>
        <a:xfrm>
          <a:off x="561975" y="3524250"/>
          <a:ext cx="2343150" cy="685800"/>
        </a:xfrm>
        <a:prstGeom prst="rightArrow">
          <a:avLst>
            <a:gd name="adj1" fmla="val 72642"/>
            <a:gd name="adj2" fmla="val 50000"/>
          </a:avLst>
        </a:prstGeom>
        <a:gradFill flip="none" rotWithShape="1">
          <a:gsLst>
            <a:gs pos="0">
              <a:srgbClr val="66FF66">
                <a:shade val="30000"/>
                <a:satMod val="115000"/>
              </a:srgbClr>
            </a:gs>
            <a:gs pos="50000">
              <a:srgbClr val="66FF66">
                <a:shade val="67500"/>
                <a:satMod val="115000"/>
              </a:srgbClr>
            </a:gs>
            <a:gs pos="100000">
              <a:srgbClr val="66FF66">
                <a:shade val="100000"/>
                <a:satMod val="115000"/>
              </a:srgbClr>
            </a:gs>
          </a:gsLst>
          <a:lin ang="0" scaled="1"/>
          <a:tileRect/>
        </a:gradFill>
        <a:ln w="1270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2</xdr:col>
      <xdr:colOff>0</xdr:colOff>
      <xdr:row>7</xdr:row>
      <xdr:rowOff>0</xdr:rowOff>
    </xdr:from>
    <xdr:to>
      <xdr:col>2</xdr:col>
      <xdr:colOff>2343150</xdr:colOff>
      <xdr:row>7</xdr:row>
      <xdr:rowOff>685800</xdr:rowOff>
    </xdr:to>
    <xdr:sp macro="" textlink="">
      <xdr:nvSpPr>
        <xdr:cNvPr id="6" name="Right Arrow 5">
          <a:extLst>
            <a:ext uri="{FF2B5EF4-FFF2-40B4-BE49-F238E27FC236}">
              <a16:creationId xmlns:a16="http://schemas.microsoft.com/office/drawing/2014/main" id="{00000000-0008-0000-2C00-000006000000}"/>
            </a:ext>
          </a:extLst>
        </xdr:cNvPr>
        <xdr:cNvSpPr/>
      </xdr:nvSpPr>
      <xdr:spPr>
        <a:xfrm>
          <a:off x="561975" y="4229100"/>
          <a:ext cx="2343150" cy="685800"/>
        </a:xfrm>
        <a:prstGeom prst="rightArrow">
          <a:avLst>
            <a:gd name="adj1" fmla="val 72642"/>
            <a:gd name="adj2" fmla="val 50000"/>
          </a:avLst>
        </a:prstGeom>
        <a:gradFill flip="none" rotWithShape="1">
          <a:gsLst>
            <a:gs pos="0">
              <a:srgbClr val="66FF66">
                <a:shade val="30000"/>
                <a:satMod val="115000"/>
              </a:srgbClr>
            </a:gs>
            <a:gs pos="50000">
              <a:srgbClr val="66FF66">
                <a:shade val="67500"/>
                <a:satMod val="115000"/>
              </a:srgbClr>
            </a:gs>
            <a:gs pos="100000">
              <a:srgbClr val="66FF66">
                <a:shade val="100000"/>
                <a:satMod val="115000"/>
              </a:srgbClr>
            </a:gs>
          </a:gsLst>
          <a:lin ang="0" scaled="1"/>
          <a:tileRect/>
        </a:gradFill>
        <a:ln w="1270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2</xdr:col>
      <xdr:colOff>0</xdr:colOff>
      <xdr:row>8</xdr:row>
      <xdr:rowOff>0</xdr:rowOff>
    </xdr:from>
    <xdr:to>
      <xdr:col>2</xdr:col>
      <xdr:colOff>2343150</xdr:colOff>
      <xdr:row>8</xdr:row>
      <xdr:rowOff>685800</xdr:rowOff>
    </xdr:to>
    <xdr:sp macro="" textlink="">
      <xdr:nvSpPr>
        <xdr:cNvPr id="7" name="Right Arrow 6">
          <a:extLst>
            <a:ext uri="{FF2B5EF4-FFF2-40B4-BE49-F238E27FC236}">
              <a16:creationId xmlns:a16="http://schemas.microsoft.com/office/drawing/2014/main" id="{00000000-0008-0000-2C00-000007000000}"/>
            </a:ext>
          </a:extLst>
        </xdr:cNvPr>
        <xdr:cNvSpPr/>
      </xdr:nvSpPr>
      <xdr:spPr>
        <a:xfrm>
          <a:off x="561975" y="4933950"/>
          <a:ext cx="2343150" cy="685800"/>
        </a:xfrm>
        <a:prstGeom prst="rightArrow">
          <a:avLst>
            <a:gd name="adj1" fmla="val 72642"/>
            <a:gd name="adj2" fmla="val 50000"/>
          </a:avLst>
        </a:prstGeom>
        <a:gradFill flip="none" rotWithShape="1">
          <a:gsLst>
            <a:gs pos="0">
              <a:srgbClr val="66FF66">
                <a:shade val="30000"/>
                <a:satMod val="115000"/>
              </a:srgbClr>
            </a:gs>
            <a:gs pos="50000">
              <a:srgbClr val="66FF66">
                <a:shade val="67500"/>
                <a:satMod val="115000"/>
              </a:srgbClr>
            </a:gs>
            <a:gs pos="100000">
              <a:srgbClr val="66FF66">
                <a:shade val="100000"/>
                <a:satMod val="115000"/>
              </a:srgbClr>
            </a:gs>
          </a:gsLst>
          <a:lin ang="0" scaled="1"/>
          <a:tileRect/>
        </a:gradFill>
        <a:ln w="1270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2</xdr:col>
      <xdr:colOff>0</xdr:colOff>
      <xdr:row>9</xdr:row>
      <xdr:rowOff>0</xdr:rowOff>
    </xdr:from>
    <xdr:to>
      <xdr:col>2</xdr:col>
      <xdr:colOff>2343150</xdr:colOff>
      <xdr:row>9</xdr:row>
      <xdr:rowOff>685800</xdr:rowOff>
    </xdr:to>
    <xdr:sp macro="" textlink="">
      <xdr:nvSpPr>
        <xdr:cNvPr id="8" name="Right Arrow 7">
          <a:extLst>
            <a:ext uri="{FF2B5EF4-FFF2-40B4-BE49-F238E27FC236}">
              <a16:creationId xmlns:a16="http://schemas.microsoft.com/office/drawing/2014/main" id="{00000000-0008-0000-2C00-000008000000}"/>
            </a:ext>
          </a:extLst>
        </xdr:cNvPr>
        <xdr:cNvSpPr/>
      </xdr:nvSpPr>
      <xdr:spPr>
        <a:xfrm>
          <a:off x="561975" y="5638800"/>
          <a:ext cx="2343150" cy="685800"/>
        </a:xfrm>
        <a:prstGeom prst="rightArrow">
          <a:avLst>
            <a:gd name="adj1" fmla="val 72642"/>
            <a:gd name="adj2" fmla="val 50000"/>
          </a:avLst>
        </a:prstGeom>
        <a:gradFill flip="none" rotWithShape="1">
          <a:gsLst>
            <a:gs pos="0">
              <a:srgbClr val="66FF66">
                <a:shade val="30000"/>
                <a:satMod val="115000"/>
              </a:srgbClr>
            </a:gs>
            <a:gs pos="50000">
              <a:srgbClr val="66FF66">
                <a:shade val="67500"/>
                <a:satMod val="115000"/>
              </a:srgbClr>
            </a:gs>
            <a:gs pos="100000">
              <a:srgbClr val="66FF66">
                <a:shade val="100000"/>
                <a:satMod val="115000"/>
              </a:srgbClr>
            </a:gs>
          </a:gsLst>
          <a:lin ang="0" scaled="1"/>
          <a:tileRect/>
        </a:gradFill>
        <a:ln w="1270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2</xdr:col>
      <xdr:colOff>0</xdr:colOff>
      <xdr:row>10</xdr:row>
      <xdr:rowOff>0</xdr:rowOff>
    </xdr:from>
    <xdr:to>
      <xdr:col>2</xdr:col>
      <xdr:colOff>2343150</xdr:colOff>
      <xdr:row>10</xdr:row>
      <xdr:rowOff>685800</xdr:rowOff>
    </xdr:to>
    <xdr:sp macro="" textlink="">
      <xdr:nvSpPr>
        <xdr:cNvPr id="9" name="Right Arrow 8">
          <a:extLst>
            <a:ext uri="{FF2B5EF4-FFF2-40B4-BE49-F238E27FC236}">
              <a16:creationId xmlns:a16="http://schemas.microsoft.com/office/drawing/2014/main" id="{00000000-0008-0000-2C00-000009000000}"/>
            </a:ext>
          </a:extLst>
        </xdr:cNvPr>
        <xdr:cNvSpPr/>
      </xdr:nvSpPr>
      <xdr:spPr>
        <a:xfrm>
          <a:off x="561975" y="6343650"/>
          <a:ext cx="2343150" cy="685800"/>
        </a:xfrm>
        <a:prstGeom prst="rightArrow">
          <a:avLst>
            <a:gd name="adj1" fmla="val 72642"/>
            <a:gd name="adj2" fmla="val 50000"/>
          </a:avLst>
        </a:prstGeom>
        <a:gradFill flip="none" rotWithShape="1">
          <a:gsLst>
            <a:gs pos="0">
              <a:srgbClr val="66FF66">
                <a:shade val="30000"/>
                <a:satMod val="115000"/>
              </a:srgbClr>
            </a:gs>
            <a:gs pos="50000">
              <a:srgbClr val="66FF66">
                <a:shade val="67500"/>
                <a:satMod val="115000"/>
              </a:srgbClr>
            </a:gs>
            <a:gs pos="100000">
              <a:srgbClr val="66FF66">
                <a:shade val="100000"/>
                <a:satMod val="115000"/>
              </a:srgbClr>
            </a:gs>
          </a:gsLst>
          <a:lin ang="0" scaled="1"/>
          <a:tileRect/>
        </a:gradFill>
        <a:ln w="1270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2</xdr:col>
      <xdr:colOff>0</xdr:colOff>
      <xdr:row>3</xdr:row>
      <xdr:rowOff>0</xdr:rowOff>
    </xdr:from>
    <xdr:to>
      <xdr:col>2</xdr:col>
      <xdr:colOff>2343150</xdr:colOff>
      <xdr:row>3</xdr:row>
      <xdr:rowOff>685800</xdr:rowOff>
    </xdr:to>
    <xdr:sp macro="" textlink="">
      <xdr:nvSpPr>
        <xdr:cNvPr id="11" name="Right Arrow 10">
          <a:extLst>
            <a:ext uri="{FF2B5EF4-FFF2-40B4-BE49-F238E27FC236}">
              <a16:creationId xmlns:a16="http://schemas.microsoft.com/office/drawing/2014/main" id="{00000000-0008-0000-2C00-00000B000000}"/>
            </a:ext>
          </a:extLst>
        </xdr:cNvPr>
        <xdr:cNvSpPr/>
      </xdr:nvSpPr>
      <xdr:spPr>
        <a:xfrm>
          <a:off x="561975" y="1409700"/>
          <a:ext cx="2343150" cy="685800"/>
        </a:xfrm>
        <a:prstGeom prst="rightArrow">
          <a:avLst>
            <a:gd name="adj1" fmla="val 72642"/>
            <a:gd name="adj2" fmla="val 50000"/>
          </a:avLst>
        </a:prstGeom>
        <a:gradFill flip="none" rotWithShape="1">
          <a:gsLst>
            <a:gs pos="0">
              <a:srgbClr val="66FF66">
                <a:shade val="30000"/>
                <a:satMod val="115000"/>
              </a:srgbClr>
            </a:gs>
            <a:gs pos="50000">
              <a:srgbClr val="66FF66">
                <a:shade val="67500"/>
                <a:satMod val="115000"/>
              </a:srgbClr>
            </a:gs>
            <a:gs pos="100000">
              <a:srgbClr val="66FF66">
                <a:shade val="100000"/>
                <a:satMod val="115000"/>
              </a:srgbClr>
            </a:gs>
          </a:gsLst>
          <a:lin ang="0" scaled="1"/>
          <a:tileRect/>
        </a:gradFill>
        <a:ln w="1270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3</xdr:col>
      <xdr:colOff>609599</xdr:colOff>
      <xdr:row>4</xdr:row>
      <xdr:rowOff>0</xdr:rowOff>
    </xdr:from>
    <xdr:to>
      <xdr:col>4</xdr:col>
      <xdr:colOff>2352674</xdr:colOff>
      <xdr:row>4</xdr:row>
      <xdr:rowOff>687600</xdr:rowOff>
    </xdr:to>
    <xdr:sp macro="" textlink="">
      <xdr:nvSpPr>
        <xdr:cNvPr id="14" name="Left Arrow 13">
          <a:extLst>
            <a:ext uri="{FF2B5EF4-FFF2-40B4-BE49-F238E27FC236}">
              <a16:creationId xmlns:a16="http://schemas.microsoft.com/office/drawing/2014/main" id="{00000000-0008-0000-2C00-00000E000000}"/>
            </a:ext>
          </a:extLst>
        </xdr:cNvPr>
        <xdr:cNvSpPr/>
      </xdr:nvSpPr>
      <xdr:spPr>
        <a:xfrm>
          <a:off x="3524249" y="2114550"/>
          <a:ext cx="2352675" cy="687600"/>
        </a:xfrm>
        <a:prstGeom prst="leftArrow">
          <a:avLst>
            <a:gd name="adj1" fmla="val 77027"/>
            <a:gd name="adj2" fmla="val 50000"/>
          </a:avLst>
        </a:prstGeom>
        <a:gradFill flip="none" rotWithShape="1">
          <a:gsLst>
            <a:gs pos="0">
              <a:srgbClr val="FF0000">
                <a:shade val="30000"/>
                <a:satMod val="115000"/>
              </a:srgbClr>
            </a:gs>
            <a:gs pos="50000">
              <a:srgbClr val="FF0000">
                <a:shade val="67500"/>
                <a:satMod val="115000"/>
              </a:srgbClr>
            </a:gs>
            <a:gs pos="100000">
              <a:srgbClr val="FF0000">
                <a:shade val="100000"/>
                <a:satMod val="115000"/>
              </a:srgbClr>
            </a:gs>
          </a:gsLst>
          <a:lin ang="10800000" scaled="1"/>
          <a:tileRect/>
        </a:gradFill>
        <a:ln w="1270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GB" sz="1100">
            <a:solidFill>
              <a:schemeClr val="lt1"/>
            </a:solidFill>
            <a:latin typeface="+mn-lt"/>
            <a:ea typeface="+mn-ea"/>
            <a:cs typeface="+mn-cs"/>
          </a:endParaRPr>
        </a:p>
      </xdr:txBody>
    </xdr:sp>
    <xdr:clientData/>
  </xdr:twoCellAnchor>
  <xdr:twoCellAnchor>
    <xdr:from>
      <xdr:col>3</xdr:col>
      <xdr:colOff>609599</xdr:colOff>
      <xdr:row>5</xdr:row>
      <xdr:rowOff>0</xdr:rowOff>
    </xdr:from>
    <xdr:to>
      <xdr:col>4</xdr:col>
      <xdr:colOff>2352674</xdr:colOff>
      <xdr:row>5</xdr:row>
      <xdr:rowOff>687600</xdr:rowOff>
    </xdr:to>
    <xdr:sp macro="" textlink="">
      <xdr:nvSpPr>
        <xdr:cNvPr id="15" name="Left Arrow 14">
          <a:extLst>
            <a:ext uri="{FF2B5EF4-FFF2-40B4-BE49-F238E27FC236}">
              <a16:creationId xmlns:a16="http://schemas.microsoft.com/office/drawing/2014/main" id="{00000000-0008-0000-2C00-00000F000000}"/>
            </a:ext>
          </a:extLst>
        </xdr:cNvPr>
        <xdr:cNvSpPr/>
      </xdr:nvSpPr>
      <xdr:spPr>
        <a:xfrm>
          <a:off x="3524249" y="2819400"/>
          <a:ext cx="2352675" cy="687600"/>
        </a:xfrm>
        <a:prstGeom prst="leftArrow">
          <a:avLst>
            <a:gd name="adj1" fmla="val 77027"/>
            <a:gd name="adj2" fmla="val 50000"/>
          </a:avLst>
        </a:prstGeom>
        <a:gradFill flip="none" rotWithShape="1">
          <a:gsLst>
            <a:gs pos="0">
              <a:srgbClr val="FF0000">
                <a:shade val="30000"/>
                <a:satMod val="115000"/>
              </a:srgbClr>
            </a:gs>
            <a:gs pos="50000">
              <a:srgbClr val="FF0000">
                <a:shade val="67500"/>
                <a:satMod val="115000"/>
              </a:srgbClr>
            </a:gs>
            <a:gs pos="100000">
              <a:srgbClr val="FF0000">
                <a:shade val="100000"/>
                <a:satMod val="115000"/>
              </a:srgbClr>
            </a:gs>
          </a:gsLst>
          <a:lin ang="10800000" scaled="1"/>
          <a:tileRect/>
        </a:gradFill>
        <a:ln w="1270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GB" sz="1100">
            <a:solidFill>
              <a:schemeClr val="lt1"/>
            </a:solidFill>
            <a:latin typeface="+mn-lt"/>
            <a:ea typeface="+mn-ea"/>
            <a:cs typeface="+mn-cs"/>
          </a:endParaRPr>
        </a:p>
      </xdr:txBody>
    </xdr:sp>
    <xdr:clientData/>
  </xdr:twoCellAnchor>
  <xdr:twoCellAnchor>
    <xdr:from>
      <xdr:col>3</xdr:col>
      <xdr:colOff>609599</xdr:colOff>
      <xdr:row>6</xdr:row>
      <xdr:rowOff>0</xdr:rowOff>
    </xdr:from>
    <xdr:to>
      <xdr:col>4</xdr:col>
      <xdr:colOff>2352674</xdr:colOff>
      <xdr:row>6</xdr:row>
      <xdr:rowOff>687600</xdr:rowOff>
    </xdr:to>
    <xdr:sp macro="" textlink="">
      <xdr:nvSpPr>
        <xdr:cNvPr id="16" name="Left Arrow 15">
          <a:extLst>
            <a:ext uri="{FF2B5EF4-FFF2-40B4-BE49-F238E27FC236}">
              <a16:creationId xmlns:a16="http://schemas.microsoft.com/office/drawing/2014/main" id="{00000000-0008-0000-2C00-000010000000}"/>
            </a:ext>
          </a:extLst>
        </xdr:cNvPr>
        <xdr:cNvSpPr/>
      </xdr:nvSpPr>
      <xdr:spPr>
        <a:xfrm>
          <a:off x="3524249" y="3524250"/>
          <a:ext cx="2352675" cy="687600"/>
        </a:xfrm>
        <a:prstGeom prst="leftArrow">
          <a:avLst>
            <a:gd name="adj1" fmla="val 77027"/>
            <a:gd name="adj2" fmla="val 50000"/>
          </a:avLst>
        </a:prstGeom>
        <a:gradFill flip="none" rotWithShape="1">
          <a:gsLst>
            <a:gs pos="0">
              <a:srgbClr val="FF0000">
                <a:shade val="30000"/>
                <a:satMod val="115000"/>
              </a:srgbClr>
            </a:gs>
            <a:gs pos="50000">
              <a:srgbClr val="FF0000">
                <a:shade val="67500"/>
                <a:satMod val="115000"/>
              </a:srgbClr>
            </a:gs>
            <a:gs pos="100000">
              <a:srgbClr val="FF0000">
                <a:shade val="100000"/>
                <a:satMod val="115000"/>
              </a:srgbClr>
            </a:gs>
          </a:gsLst>
          <a:lin ang="10800000" scaled="1"/>
          <a:tileRect/>
        </a:gradFill>
        <a:ln w="1270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GB" sz="1100">
            <a:solidFill>
              <a:schemeClr val="lt1"/>
            </a:solidFill>
            <a:latin typeface="+mn-lt"/>
            <a:ea typeface="+mn-ea"/>
            <a:cs typeface="+mn-cs"/>
          </a:endParaRPr>
        </a:p>
      </xdr:txBody>
    </xdr:sp>
    <xdr:clientData/>
  </xdr:twoCellAnchor>
  <xdr:twoCellAnchor>
    <xdr:from>
      <xdr:col>3</xdr:col>
      <xdr:colOff>609599</xdr:colOff>
      <xdr:row>7</xdr:row>
      <xdr:rowOff>0</xdr:rowOff>
    </xdr:from>
    <xdr:to>
      <xdr:col>4</xdr:col>
      <xdr:colOff>2352674</xdr:colOff>
      <xdr:row>7</xdr:row>
      <xdr:rowOff>687600</xdr:rowOff>
    </xdr:to>
    <xdr:sp macro="" textlink="">
      <xdr:nvSpPr>
        <xdr:cNvPr id="17" name="Left Arrow 16">
          <a:extLst>
            <a:ext uri="{FF2B5EF4-FFF2-40B4-BE49-F238E27FC236}">
              <a16:creationId xmlns:a16="http://schemas.microsoft.com/office/drawing/2014/main" id="{00000000-0008-0000-2C00-000011000000}"/>
            </a:ext>
          </a:extLst>
        </xdr:cNvPr>
        <xdr:cNvSpPr/>
      </xdr:nvSpPr>
      <xdr:spPr>
        <a:xfrm>
          <a:off x="3524249" y="4229100"/>
          <a:ext cx="2352675" cy="687600"/>
        </a:xfrm>
        <a:prstGeom prst="leftArrow">
          <a:avLst>
            <a:gd name="adj1" fmla="val 77027"/>
            <a:gd name="adj2" fmla="val 50000"/>
          </a:avLst>
        </a:prstGeom>
        <a:gradFill flip="none" rotWithShape="1">
          <a:gsLst>
            <a:gs pos="0">
              <a:srgbClr val="FF0000">
                <a:shade val="30000"/>
                <a:satMod val="115000"/>
              </a:srgbClr>
            </a:gs>
            <a:gs pos="50000">
              <a:srgbClr val="FF0000">
                <a:shade val="67500"/>
                <a:satMod val="115000"/>
              </a:srgbClr>
            </a:gs>
            <a:gs pos="100000">
              <a:srgbClr val="FF0000">
                <a:shade val="100000"/>
                <a:satMod val="115000"/>
              </a:srgbClr>
            </a:gs>
          </a:gsLst>
          <a:lin ang="10800000" scaled="1"/>
          <a:tileRect/>
        </a:gradFill>
        <a:ln w="1270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GB" sz="1100">
            <a:solidFill>
              <a:schemeClr val="lt1"/>
            </a:solidFill>
            <a:latin typeface="+mn-lt"/>
            <a:ea typeface="+mn-ea"/>
            <a:cs typeface="+mn-cs"/>
          </a:endParaRPr>
        </a:p>
      </xdr:txBody>
    </xdr:sp>
    <xdr:clientData/>
  </xdr:twoCellAnchor>
  <xdr:twoCellAnchor>
    <xdr:from>
      <xdr:col>3</xdr:col>
      <xdr:colOff>609599</xdr:colOff>
      <xdr:row>8</xdr:row>
      <xdr:rowOff>0</xdr:rowOff>
    </xdr:from>
    <xdr:to>
      <xdr:col>4</xdr:col>
      <xdr:colOff>2352674</xdr:colOff>
      <xdr:row>8</xdr:row>
      <xdr:rowOff>687600</xdr:rowOff>
    </xdr:to>
    <xdr:sp macro="" textlink="">
      <xdr:nvSpPr>
        <xdr:cNvPr id="18" name="Left Arrow 17">
          <a:extLst>
            <a:ext uri="{FF2B5EF4-FFF2-40B4-BE49-F238E27FC236}">
              <a16:creationId xmlns:a16="http://schemas.microsoft.com/office/drawing/2014/main" id="{00000000-0008-0000-2C00-000012000000}"/>
            </a:ext>
          </a:extLst>
        </xdr:cNvPr>
        <xdr:cNvSpPr/>
      </xdr:nvSpPr>
      <xdr:spPr>
        <a:xfrm>
          <a:off x="3524249" y="4933950"/>
          <a:ext cx="2352675" cy="687600"/>
        </a:xfrm>
        <a:prstGeom prst="leftArrow">
          <a:avLst>
            <a:gd name="adj1" fmla="val 77027"/>
            <a:gd name="adj2" fmla="val 50000"/>
          </a:avLst>
        </a:prstGeom>
        <a:gradFill flip="none" rotWithShape="1">
          <a:gsLst>
            <a:gs pos="0">
              <a:srgbClr val="FF0000">
                <a:shade val="30000"/>
                <a:satMod val="115000"/>
              </a:srgbClr>
            </a:gs>
            <a:gs pos="50000">
              <a:srgbClr val="FF0000">
                <a:shade val="67500"/>
                <a:satMod val="115000"/>
              </a:srgbClr>
            </a:gs>
            <a:gs pos="100000">
              <a:srgbClr val="FF0000">
                <a:shade val="100000"/>
                <a:satMod val="115000"/>
              </a:srgbClr>
            </a:gs>
          </a:gsLst>
          <a:lin ang="10800000" scaled="1"/>
          <a:tileRect/>
        </a:gradFill>
        <a:ln w="1270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GB" sz="1100">
            <a:solidFill>
              <a:schemeClr val="lt1"/>
            </a:solidFill>
            <a:latin typeface="+mn-lt"/>
            <a:ea typeface="+mn-ea"/>
            <a:cs typeface="+mn-cs"/>
          </a:endParaRPr>
        </a:p>
      </xdr:txBody>
    </xdr:sp>
    <xdr:clientData/>
  </xdr:twoCellAnchor>
  <xdr:twoCellAnchor>
    <xdr:from>
      <xdr:col>3</xdr:col>
      <xdr:colOff>609599</xdr:colOff>
      <xdr:row>9</xdr:row>
      <xdr:rowOff>0</xdr:rowOff>
    </xdr:from>
    <xdr:to>
      <xdr:col>4</xdr:col>
      <xdr:colOff>2352674</xdr:colOff>
      <xdr:row>9</xdr:row>
      <xdr:rowOff>687600</xdr:rowOff>
    </xdr:to>
    <xdr:sp macro="" textlink="">
      <xdr:nvSpPr>
        <xdr:cNvPr id="19" name="Left Arrow 18">
          <a:extLst>
            <a:ext uri="{FF2B5EF4-FFF2-40B4-BE49-F238E27FC236}">
              <a16:creationId xmlns:a16="http://schemas.microsoft.com/office/drawing/2014/main" id="{00000000-0008-0000-2C00-000013000000}"/>
            </a:ext>
          </a:extLst>
        </xdr:cNvPr>
        <xdr:cNvSpPr/>
      </xdr:nvSpPr>
      <xdr:spPr>
        <a:xfrm>
          <a:off x="3524249" y="5638800"/>
          <a:ext cx="2352675" cy="687600"/>
        </a:xfrm>
        <a:prstGeom prst="leftArrow">
          <a:avLst>
            <a:gd name="adj1" fmla="val 77027"/>
            <a:gd name="adj2" fmla="val 50000"/>
          </a:avLst>
        </a:prstGeom>
        <a:gradFill flip="none" rotWithShape="1">
          <a:gsLst>
            <a:gs pos="0">
              <a:srgbClr val="FF0000">
                <a:shade val="30000"/>
                <a:satMod val="115000"/>
              </a:srgbClr>
            </a:gs>
            <a:gs pos="50000">
              <a:srgbClr val="FF0000">
                <a:shade val="67500"/>
                <a:satMod val="115000"/>
              </a:srgbClr>
            </a:gs>
            <a:gs pos="100000">
              <a:srgbClr val="FF0000">
                <a:shade val="100000"/>
                <a:satMod val="115000"/>
              </a:srgbClr>
            </a:gs>
          </a:gsLst>
          <a:lin ang="10800000" scaled="1"/>
          <a:tileRect/>
        </a:gradFill>
        <a:ln w="1270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GB" sz="1100">
            <a:solidFill>
              <a:schemeClr val="lt1"/>
            </a:solidFill>
            <a:latin typeface="+mn-lt"/>
            <a:ea typeface="+mn-ea"/>
            <a:cs typeface="+mn-cs"/>
          </a:endParaRPr>
        </a:p>
      </xdr:txBody>
    </xdr:sp>
    <xdr:clientData/>
  </xdr:twoCellAnchor>
  <xdr:twoCellAnchor>
    <xdr:from>
      <xdr:col>3</xdr:col>
      <xdr:colOff>609599</xdr:colOff>
      <xdr:row>10</xdr:row>
      <xdr:rowOff>0</xdr:rowOff>
    </xdr:from>
    <xdr:to>
      <xdr:col>4</xdr:col>
      <xdr:colOff>2352674</xdr:colOff>
      <xdr:row>10</xdr:row>
      <xdr:rowOff>687600</xdr:rowOff>
    </xdr:to>
    <xdr:sp macro="" textlink="">
      <xdr:nvSpPr>
        <xdr:cNvPr id="20" name="Left Arrow 19">
          <a:extLst>
            <a:ext uri="{FF2B5EF4-FFF2-40B4-BE49-F238E27FC236}">
              <a16:creationId xmlns:a16="http://schemas.microsoft.com/office/drawing/2014/main" id="{00000000-0008-0000-2C00-000014000000}"/>
            </a:ext>
          </a:extLst>
        </xdr:cNvPr>
        <xdr:cNvSpPr/>
      </xdr:nvSpPr>
      <xdr:spPr>
        <a:xfrm>
          <a:off x="3524249" y="6343650"/>
          <a:ext cx="2352675" cy="687600"/>
        </a:xfrm>
        <a:prstGeom prst="leftArrow">
          <a:avLst>
            <a:gd name="adj1" fmla="val 77027"/>
            <a:gd name="adj2" fmla="val 50000"/>
          </a:avLst>
        </a:prstGeom>
        <a:gradFill flip="none" rotWithShape="1">
          <a:gsLst>
            <a:gs pos="0">
              <a:srgbClr val="FF0000">
                <a:shade val="30000"/>
                <a:satMod val="115000"/>
              </a:srgbClr>
            </a:gs>
            <a:gs pos="50000">
              <a:srgbClr val="FF0000">
                <a:shade val="67500"/>
                <a:satMod val="115000"/>
              </a:srgbClr>
            </a:gs>
            <a:gs pos="100000">
              <a:srgbClr val="FF0000">
                <a:shade val="100000"/>
                <a:satMod val="115000"/>
              </a:srgbClr>
            </a:gs>
          </a:gsLst>
          <a:lin ang="10800000" scaled="1"/>
          <a:tileRect/>
        </a:gradFill>
        <a:ln w="1270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GB" sz="1100">
            <a:solidFill>
              <a:schemeClr val="lt1"/>
            </a:solidFill>
            <a:latin typeface="+mn-lt"/>
            <a:ea typeface="+mn-ea"/>
            <a:cs typeface="+mn-cs"/>
          </a:endParaRPr>
        </a:p>
      </xdr:txBody>
    </xdr:sp>
    <xdr:clientData/>
  </xdr:twoCellAnchor>
  <xdr:twoCellAnchor>
    <xdr:from>
      <xdr:col>3</xdr:col>
      <xdr:colOff>609599</xdr:colOff>
      <xdr:row>3</xdr:row>
      <xdr:rowOff>0</xdr:rowOff>
    </xdr:from>
    <xdr:to>
      <xdr:col>4</xdr:col>
      <xdr:colOff>2352674</xdr:colOff>
      <xdr:row>3</xdr:row>
      <xdr:rowOff>687600</xdr:rowOff>
    </xdr:to>
    <xdr:sp macro="" textlink="">
      <xdr:nvSpPr>
        <xdr:cNvPr id="21" name="Left Arrow 20">
          <a:extLst>
            <a:ext uri="{FF2B5EF4-FFF2-40B4-BE49-F238E27FC236}">
              <a16:creationId xmlns:a16="http://schemas.microsoft.com/office/drawing/2014/main" id="{00000000-0008-0000-2C00-000015000000}"/>
            </a:ext>
          </a:extLst>
        </xdr:cNvPr>
        <xdr:cNvSpPr/>
      </xdr:nvSpPr>
      <xdr:spPr>
        <a:xfrm>
          <a:off x="3524249" y="1409700"/>
          <a:ext cx="2352675" cy="687600"/>
        </a:xfrm>
        <a:prstGeom prst="leftArrow">
          <a:avLst>
            <a:gd name="adj1" fmla="val 77027"/>
            <a:gd name="adj2" fmla="val 50000"/>
          </a:avLst>
        </a:prstGeom>
        <a:gradFill flip="none" rotWithShape="1">
          <a:gsLst>
            <a:gs pos="0">
              <a:srgbClr val="FF0000">
                <a:shade val="30000"/>
                <a:satMod val="115000"/>
              </a:srgbClr>
            </a:gs>
            <a:gs pos="50000">
              <a:srgbClr val="FF0000">
                <a:shade val="67500"/>
                <a:satMod val="115000"/>
              </a:srgbClr>
            </a:gs>
            <a:gs pos="100000">
              <a:srgbClr val="FF0000">
                <a:shade val="100000"/>
                <a:satMod val="115000"/>
              </a:srgbClr>
            </a:gs>
          </a:gsLst>
          <a:lin ang="10800000" scaled="1"/>
          <a:tileRect/>
        </a:gradFill>
        <a:ln w="12700">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GB" sz="1100">
            <a:solidFill>
              <a:sysClr val="windowText" lastClr="000000"/>
            </a:solidFill>
            <a:latin typeface="+mn-lt"/>
            <a:ea typeface="+mn-ea"/>
            <a:cs typeface="+mn-cs"/>
          </a:endParaRP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4</xdr:col>
      <xdr:colOff>415290</xdr:colOff>
      <xdr:row>0</xdr:row>
      <xdr:rowOff>0</xdr:rowOff>
    </xdr:from>
    <xdr:to>
      <xdr:col>10</xdr:col>
      <xdr:colOff>598170</xdr:colOff>
      <xdr:row>14</xdr:row>
      <xdr:rowOff>76200</xdr:rowOff>
    </xdr:to>
    <xdr:graphicFrame macro="">
      <xdr:nvGraphicFramePr>
        <xdr:cNvPr id="2" name="Chart 1">
          <a:extLst>
            <a:ext uri="{FF2B5EF4-FFF2-40B4-BE49-F238E27FC236}">
              <a16:creationId xmlns:a16="http://schemas.microsoft.com/office/drawing/2014/main" id="{00000000-0008-0000-2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205740</xdr:colOff>
      <xdr:row>2</xdr:row>
      <xdr:rowOff>91440</xdr:rowOff>
    </xdr:from>
    <xdr:to>
      <xdr:col>7</xdr:col>
      <xdr:colOff>685800</xdr:colOff>
      <xdr:row>7</xdr:row>
      <xdr:rowOff>38100</xdr:rowOff>
    </xdr:to>
    <xdr:sp macro="" textlink="">
      <xdr:nvSpPr>
        <xdr:cNvPr id="3" name="Rectangle 2">
          <a:extLst>
            <a:ext uri="{FF2B5EF4-FFF2-40B4-BE49-F238E27FC236}">
              <a16:creationId xmlns:a16="http://schemas.microsoft.com/office/drawing/2014/main" id="{00000000-0008-0000-2D00-000003000000}"/>
            </a:ext>
          </a:extLst>
        </xdr:cNvPr>
        <xdr:cNvSpPr/>
      </xdr:nvSpPr>
      <xdr:spPr>
        <a:xfrm>
          <a:off x="4046220" y="472440"/>
          <a:ext cx="1943100" cy="899160"/>
        </a:xfrm>
        <a:prstGeom prst="rect">
          <a:avLst/>
        </a:prstGeom>
        <a:solidFill>
          <a:srgbClr val="92D050">
            <a:alpha val="20000"/>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678180</xdr:colOff>
      <xdr:row>2</xdr:row>
      <xdr:rowOff>106680</xdr:rowOff>
    </xdr:from>
    <xdr:to>
      <xdr:col>10</xdr:col>
      <xdr:colOff>426720</xdr:colOff>
      <xdr:row>7</xdr:row>
      <xdr:rowOff>53340</xdr:rowOff>
    </xdr:to>
    <xdr:sp macro="" textlink="">
      <xdr:nvSpPr>
        <xdr:cNvPr id="4" name="Rectangle 3">
          <a:extLst>
            <a:ext uri="{FF2B5EF4-FFF2-40B4-BE49-F238E27FC236}">
              <a16:creationId xmlns:a16="http://schemas.microsoft.com/office/drawing/2014/main" id="{00000000-0008-0000-2D00-000004000000}"/>
            </a:ext>
          </a:extLst>
        </xdr:cNvPr>
        <xdr:cNvSpPr/>
      </xdr:nvSpPr>
      <xdr:spPr>
        <a:xfrm>
          <a:off x="5981700" y="487680"/>
          <a:ext cx="1943100" cy="899160"/>
        </a:xfrm>
        <a:prstGeom prst="rect">
          <a:avLst/>
        </a:prstGeom>
        <a:solidFill>
          <a:srgbClr val="FFC000">
            <a:alpha val="20000"/>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7</xdr:col>
      <xdr:colOff>678180</xdr:colOff>
      <xdr:row>7</xdr:row>
      <xdr:rowOff>38100</xdr:rowOff>
    </xdr:from>
    <xdr:to>
      <xdr:col>10</xdr:col>
      <xdr:colOff>426720</xdr:colOff>
      <xdr:row>11</xdr:row>
      <xdr:rowOff>91440</xdr:rowOff>
    </xdr:to>
    <xdr:sp macro="" textlink="">
      <xdr:nvSpPr>
        <xdr:cNvPr id="5" name="Rectangle 4">
          <a:extLst>
            <a:ext uri="{FF2B5EF4-FFF2-40B4-BE49-F238E27FC236}">
              <a16:creationId xmlns:a16="http://schemas.microsoft.com/office/drawing/2014/main" id="{00000000-0008-0000-2D00-000005000000}"/>
            </a:ext>
          </a:extLst>
        </xdr:cNvPr>
        <xdr:cNvSpPr/>
      </xdr:nvSpPr>
      <xdr:spPr>
        <a:xfrm>
          <a:off x="5981700" y="1371600"/>
          <a:ext cx="1943100" cy="815340"/>
        </a:xfrm>
        <a:prstGeom prst="rect">
          <a:avLst/>
        </a:prstGeom>
        <a:solidFill>
          <a:srgbClr val="FF0000">
            <a:alpha val="20000"/>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5</xdr:col>
      <xdr:colOff>205740</xdr:colOff>
      <xdr:row>7</xdr:row>
      <xdr:rowOff>38100</xdr:rowOff>
    </xdr:from>
    <xdr:to>
      <xdr:col>7</xdr:col>
      <xdr:colOff>685800</xdr:colOff>
      <xdr:row>11</xdr:row>
      <xdr:rowOff>91440</xdr:rowOff>
    </xdr:to>
    <xdr:sp macro="" textlink="">
      <xdr:nvSpPr>
        <xdr:cNvPr id="6" name="Rectangle 5">
          <a:extLst>
            <a:ext uri="{FF2B5EF4-FFF2-40B4-BE49-F238E27FC236}">
              <a16:creationId xmlns:a16="http://schemas.microsoft.com/office/drawing/2014/main" id="{00000000-0008-0000-2D00-000006000000}"/>
            </a:ext>
          </a:extLst>
        </xdr:cNvPr>
        <xdr:cNvSpPr/>
      </xdr:nvSpPr>
      <xdr:spPr>
        <a:xfrm>
          <a:off x="4046220" y="1371600"/>
          <a:ext cx="1943100" cy="815340"/>
        </a:xfrm>
        <a:prstGeom prst="rect">
          <a:avLst/>
        </a:prstGeom>
        <a:solidFill>
          <a:srgbClr val="FFFF00">
            <a:alpha val="20000"/>
          </a:srgb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32.xml><?xml version="1.0" encoding="utf-8"?>
<xdr:wsDr xmlns:xdr="http://schemas.openxmlformats.org/drawingml/2006/spreadsheetDrawing" xmlns:a="http://schemas.openxmlformats.org/drawingml/2006/main">
  <xdr:oneCellAnchor>
    <xdr:from>
      <xdr:col>0</xdr:col>
      <xdr:colOff>392206</xdr:colOff>
      <xdr:row>5</xdr:row>
      <xdr:rowOff>672354</xdr:rowOff>
    </xdr:from>
    <xdr:ext cx="2483116" cy="264560"/>
    <xdr:sp macro="" textlink="">
      <xdr:nvSpPr>
        <xdr:cNvPr id="2" name="TextBox 1">
          <a:extLst>
            <a:ext uri="{FF2B5EF4-FFF2-40B4-BE49-F238E27FC236}">
              <a16:creationId xmlns:a16="http://schemas.microsoft.com/office/drawing/2014/main" id="{00000000-0008-0000-2E00-000002000000}"/>
            </a:ext>
          </a:extLst>
        </xdr:cNvPr>
        <xdr:cNvSpPr txBox="1"/>
      </xdr:nvSpPr>
      <xdr:spPr>
        <a:xfrm>
          <a:off x="392206" y="1580030"/>
          <a:ext cx="2483116"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1100"/>
            <a:t>High: 9, Medium: 3, Low: 1, None:</a:t>
          </a:r>
          <a:r>
            <a:rPr lang="en-GB" sz="1100" baseline="0"/>
            <a:t> Blank</a:t>
          </a:r>
        </a:p>
      </xdr:txBody>
    </xdr:sp>
    <xdr:clientData/>
  </xdr:oneCellAnchor>
</xdr:wsDr>
</file>

<file path=xl/drawings/drawing33.xml><?xml version="1.0" encoding="utf-8"?>
<xdr:wsDr xmlns:xdr="http://schemas.openxmlformats.org/drawingml/2006/spreadsheetDrawing" xmlns:a="http://schemas.openxmlformats.org/drawingml/2006/main">
  <xdr:twoCellAnchor>
    <xdr:from>
      <xdr:col>9</xdr:col>
      <xdr:colOff>283977</xdr:colOff>
      <xdr:row>10</xdr:row>
      <xdr:rowOff>14677</xdr:rowOff>
    </xdr:from>
    <xdr:to>
      <xdr:col>15</xdr:col>
      <xdr:colOff>548409</xdr:colOff>
      <xdr:row>37</xdr:row>
      <xdr:rowOff>116691</xdr:rowOff>
    </xdr:to>
    <mc:AlternateContent xmlns:mc="http://schemas.openxmlformats.org/markup-compatibility/2006">
      <mc:Choice xmlns:cx1="http://schemas.microsoft.com/office/drawing/2015/9/8/chartex" Requires="cx1">
        <xdr:graphicFrame macro="">
          <xdr:nvGraphicFramePr>
            <xdr:cNvPr id="2" name="Chart 1">
              <a:extLst>
                <a:ext uri="{FF2B5EF4-FFF2-40B4-BE49-F238E27FC236}">
                  <a16:creationId xmlns:a16="http://schemas.microsoft.com/office/drawing/2014/main" id="{00000000-0008-0000-3000-00000200000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0" y="0"/>
              <a:ext cx="0" cy="0"/>
            </a:xfrm>
            <a:prstGeom prst="rect">
              <a:avLst/>
            </a:prstGeom>
            <a:solidFill>
              <a:prstClr val="white"/>
            </a:solidFill>
            <a:ln w="1">
              <a:solidFill>
                <a:prstClr val="green"/>
              </a:solidFill>
            </a:ln>
          </xdr:spPr>
          <xdr:txBody>
            <a:bodyPr vertOverflow="clip" horzOverflow="clip"/>
            <a:lstStyle/>
            <a:p>
              <a:r>
                <a:rPr sz="1100"/>
                <a:t>This chart isn't available in your version of Excel.
Editing this shape or saving this workbook in a different file format will permanently break the chart.</a:t>
              </a:r>
            </a:p>
          </xdr:txBody>
        </xdr:sp>
      </mc:Fallback>
    </mc:AlternateContent>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feabe\Documents\01%20Coaching\Materials\Templates\CI%20Toolkit%20old.xlsx" TargetMode="External"/><Relationship Id="rId1" Type="http://schemas.openxmlformats.org/officeDocument/2006/relationships/externalLinkPath" Target="/Users/feabe/Documents/01%20Coaching/Materials/Templates/CI%20Toolkit%20o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myprofile.bt.com/personal/802385022/Documents/Shared%20with%20Everyone/BT-com/13-14/Performance/CS%20Incident%20desk%20processes/ProjectPlanPIDProcesssImprovemen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List"/>
      <sheetName val="READ ME"/>
      <sheetName val="A3"/>
      <sheetName val="roadmap"/>
      <sheetName val="Charter"/>
      <sheetName val="SIPOC"/>
      <sheetName val="CTQ tree"/>
      <sheetName val="RACI"/>
      <sheetName val="Governance"/>
      <sheetName val="Stekeholder plan"/>
      <sheetName val="Communication"/>
      <sheetName val="Risk"/>
      <sheetName val="Plan"/>
      <sheetName val="Benefits"/>
      <sheetName val="Cause &amp; Effect"/>
      <sheetName val="Process Walkthrough"/>
      <sheetName val="5S audit"/>
      <sheetName val="Data Collection"/>
      <sheetName val="Continuous GRR"/>
      <sheetName val="Basic Sample Size"/>
      <sheetName val="Graphical Summary wip"/>
      <sheetName val="AD Normality Test"/>
      <sheetName val="Box Plots"/>
      <sheetName val="Pareto"/>
      <sheetName val="I mR chart"/>
      <sheetName val="P chart"/>
      <sheetName val="np chart"/>
      <sheetName val="U chart"/>
      <sheetName val="C chart"/>
      <sheetName val="XBAR INPUT DATA"/>
      <sheetName val="Xbar mR chart"/>
      <sheetName val="Discrete Process capability"/>
      <sheetName val="Process Capability Scorecard"/>
      <sheetName val="Hypothesis Testing"/>
      <sheetName val="ChiSquare"/>
      <sheetName val="F Test"/>
      <sheetName val="Moods Median"/>
      <sheetName val="2 sample t test"/>
      <sheetName val="Correlation"/>
      <sheetName val="Regression"/>
      <sheetName val="CI Calc"/>
      <sheetName val="Affinity diagram"/>
      <sheetName val="Force Field Analysis"/>
      <sheetName val="Pick Chart"/>
      <sheetName val="Prioritisation matrix"/>
      <sheetName val="Pugh"/>
      <sheetName val="FMEA"/>
      <sheetName val="Control Pla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ntt"/>
      <sheetName val="Actions"/>
      <sheetName val="CS Contact"/>
      <sheetName val="Manage Case"/>
      <sheetName val="Bridge Review Process"/>
      <sheetName val="Continuous Improvement Process"/>
      <sheetName val="Reset PW Today"/>
      <sheetName val="Proposed log-in diagnostic"/>
      <sheetName val="Problem Statement"/>
      <sheetName val="Problem definition sheet"/>
      <sheetName val="y=f(x) Cascade"/>
      <sheetName val="SIPOC - current process"/>
      <sheetName val="Affinity diagram of issues"/>
      <sheetName val="Stakeholder Analysis &amp; RACI"/>
      <sheetName val="Communication Plan"/>
      <sheetName val="volume Data from Ruby"/>
      <sheetName val="bridge summary"/>
      <sheetName val="Incidents"/>
      <sheetName val="SRs"/>
      <sheetName val="repeat call data"/>
      <sheetName val="Password resets"/>
      <sheetName val="data summaries"/>
      <sheetName val="Box Plots"/>
      <sheetName val="Graphical Summary"/>
      <sheetName val="iTool Articles"/>
      <sheetName val="Sharepoint Fields"/>
      <sheetName val="bridge analysis deep dive"/>
      <sheetName val="Fields required in Bridge"/>
      <sheetName val="PW analysi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persons/person.xml><?xml version="1.0" encoding="utf-8"?>
<personList xmlns="http://schemas.microsoft.com/office/spreadsheetml/2018/threadedcomments" xmlns:x="http://schemas.openxmlformats.org/spreadsheetml/2006/main">
  <person displayName="Frankie Bernard" id="{16E5DF90-5915-4E4B-9F89-4298BE5665C9}" userId="Frankie Bernard" providerId="None"/>
  <person displayName="Frankie Bernard" id="{1EA63056-3077-944C-ADF4-C91A737B98B8}" userId="S::frankie.bernard@reson8.group::218903de-740c-4f31-a72d-caebe8dd2a0d" providerId="AD"/>
</personList>
</file>

<file path=xl/theme/theme1.xml><?xml version="1.0" encoding="utf-8"?>
<a:theme xmlns:a="http://schemas.openxmlformats.org/drawingml/2006/main" name="FB4Coaching">
  <a:themeElements>
    <a:clrScheme name="FB4Coaching">
      <a:dk1>
        <a:sysClr val="windowText" lastClr="000000"/>
      </a:dk1>
      <a:lt1>
        <a:sysClr val="window" lastClr="FFFFFF"/>
      </a:lt1>
      <a:dk2>
        <a:srgbClr val="151E48"/>
      </a:dk2>
      <a:lt2>
        <a:srgbClr val="F2F2F2"/>
      </a:lt2>
      <a:accent1>
        <a:srgbClr val="151E48"/>
      </a:accent1>
      <a:accent2>
        <a:srgbClr val="426588"/>
      </a:accent2>
      <a:accent3>
        <a:srgbClr val="5A73B7"/>
      </a:accent3>
      <a:accent4>
        <a:srgbClr val="5499A3"/>
      </a:accent4>
      <a:accent5>
        <a:srgbClr val="58595B"/>
      </a:accent5>
      <a:accent6>
        <a:srgbClr val="BCBEC0"/>
      </a:accent6>
      <a:hlink>
        <a:srgbClr val="FF0000"/>
      </a:hlink>
      <a:folHlink>
        <a:srgbClr val="00B05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FB4Coaching" id="{3E4CEDFE-421A-4E04-B2C9-7769E023B995}" vid="{514A6F56-D771-4377-A2B1-9119FE28E9B9}"/>
    </a:ext>
  </a:extLst>
</a:theme>
</file>

<file path=xl/threadedComments/threadedComment1.xml><?xml version="1.0" encoding="utf-8"?>
<ThreadedComments xmlns="http://schemas.microsoft.com/office/spreadsheetml/2018/threadedcomments" xmlns:x="http://schemas.openxmlformats.org/spreadsheetml/2006/main">
  <threadedComment ref="M20" dT="2022-06-22T10:23:35.75" personId="{1EA63056-3077-944C-ADF4-C91A737B98B8}" id="{D6A716E4-9E10-42FD-814A-62909A285733}">
    <text>Discrete GR&amp;R available in separate workbook due to Macro &amp; protection</text>
  </threadedComment>
  <threadedComment ref="F25" dT="2022-06-22T10:23:35.75" personId="{1EA63056-3077-944C-ADF4-C91A737B98B8}" id="{E9D0A87B-25E8-A543-BCA1-4BFA5BF14445}">
    <text>Discrete GR&amp;R available in separate workbook due to Macro &amp; protection</text>
  </threadedComment>
</ThreadedComments>
</file>

<file path=xl/threadedComments/threadedComment2.xml><?xml version="1.0" encoding="utf-8"?>
<ThreadedComments xmlns="http://schemas.microsoft.com/office/spreadsheetml/2018/threadedcomments" xmlns:x="http://schemas.openxmlformats.org/spreadsheetml/2006/main">
  <threadedComment ref="A13" dT="2021-12-13T11:28:12.92" personId="{16E5DF90-5915-4E4B-9F89-4298BE5665C9}" id="{11DA68FC-AFD4-4040-A33D-FF3FF2365D9B}">
    <text>DMAIC dates can easily be replaced by PDCA or other approach as needed</text>
  </threadedComment>
</ThreadedComments>
</file>

<file path=xl/threadedComments/threadedComment3.xml><?xml version="1.0" encoding="utf-8"?>
<ThreadedComments xmlns="http://schemas.microsoft.com/office/spreadsheetml/2018/threadedcomments" xmlns:x="http://schemas.openxmlformats.org/spreadsheetml/2006/main">
  <threadedComment ref="E2" dT="2021-12-13T11:32:25.59" personId="{16E5DF90-5915-4E4B-9F89-4298BE5665C9}" id="{8C12F115-EF56-1C48-919B-944808241791}">
    <text>Indicate phase of DMAIC using initial of phase as applicable (i.e. could be Inforced and consulted in DMA, then Responsible and Accountable in I&amp;C</text>
  </threadedComment>
</ThreadedComments>
</file>

<file path=xl/threadedComments/threadedComment4.xml><?xml version="1.0" encoding="utf-8"?>
<ThreadedComments xmlns="http://schemas.microsoft.com/office/spreadsheetml/2018/threadedcomments" xmlns:x="http://schemas.openxmlformats.org/spreadsheetml/2006/main">
  <threadedComment ref="C2" dT="2021-12-15T14:20:20.02" personId="{16E5DF90-5915-4E4B-9F89-4298BE5665C9}" id="{FCA8197C-92CA-9A48-93B9-591481490CF1}">
    <text>Make specific to project as per agreed ways of working</text>
  </threadedComment>
  <threadedComment ref="E2" dT="2021-12-15T14:19:49.42" personId="{16E5DF90-5915-4E4B-9F89-4298BE5665C9}" id="{B8AE63F6-9363-3547-BD97-DC20EFFEE603}">
    <text>As define by the team (suggestion for illustration) Insert actual names</text>
  </threadedComment>
</ThreadedComments>
</file>

<file path=xl/threadedComments/threadedComment5.xml><?xml version="1.0" encoding="utf-8"?>
<ThreadedComments xmlns="http://schemas.microsoft.com/office/spreadsheetml/2018/threadedcomments" xmlns:x="http://schemas.openxmlformats.org/spreadsheetml/2006/main">
  <threadedComment ref="C2" dT="2021-12-15T14:20:20.02" personId="{16E5DF90-5915-4E4B-9F89-4298BE5665C9}" id="{32230EED-00B2-CB41-A6A7-6FB327C942C1}">
    <text>Make specific to project as per agreed ways of working</text>
  </threadedComment>
  <threadedComment ref="E2" dT="2021-12-15T14:19:49.42" personId="{16E5DF90-5915-4E4B-9F89-4298BE5665C9}" id="{4E3EEAA4-B0BC-A548-B377-BCC9DD062CDA}">
    <text>Insert actual names</text>
  </threadedComment>
</ThreadedComments>
</file>

<file path=xl/threadedComments/threadedComment6.xml><?xml version="1.0" encoding="utf-8"?>
<ThreadedComments xmlns="http://schemas.microsoft.com/office/spreadsheetml/2018/threadedcomments" xmlns:x="http://schemas.openxmlformats.org/spreadsheetml/2006/main">
  <threadedComment ref="H5" dT="2021-12-16T09:03:04.54" personId="{16E5DF90-5915-4E4B-9F89-4298BE5665C9}" id="{8D99ECB6-7CB9-F049-A5F6-05CFF66F0948}">
    <text>Options: Estimates, Predicted, Actuals</text>
  </threadedComment>
</ThreadedComments>
</file>

<file path=xl/threadedComments/threadedComment7.xml><?xml version="1.0" encoding="utf-8"?>
<ThreadedComments xmlns="http://schemas.microsoft.com/office/spreadsheetml/2018/threadedcomments" xmlns:x="http://schemas.openxmlformats.org/spreadsheetml/2006/main">
  <threadedComment ref="O4" dT="2021-07-22T05:17:53.72" personId="{16E5DF90-5915-4E4B-9F89-4298BE5665C9}" id="{293A320F-F0B6-DE41-BEF3-50F95F3F952D}">
    <text>Should come from VoC + VoB as needed, use scale of 1 to 10, where 10 is the most important</text>
  </threadedComment>
  <threadedComment ref="N5" dT="2022-01-29T17:05:56.69" personId="{16E5DF90-5915-4E4B-9F89-4298BE5665C9}" id="{1228CA9C-CC74-004B-BF74-0B0DD9BB0FD2}">
    <text>Should match the process steps of your process map</text>
  </threadedComment>
</ThreadedComments>
</file>

<file path=xl/threadedComments/threadedComment8.xml><?xml version="1.0" encoding="utf-8"?>
<ThreadedComments xmlns="http://schemas.microsoft.com/office/spreadsheetml/2018/threadedcomments" xmlns:x="http://schemas.openxmlformats.org/spreadsheetml/2006/main">
  <threadedComment ref="P20" dT="2022-02-22T09:53:05.75" personId="{00000000-0000-0000-0000-000000000000}" id="{B07AFC0C-A972-864F-BD09-A98FC7DFA1CC}">
    <text>This is the variation of the process - Ideally you want this % to be as high as possible</text>
  </threadedComment>
  <threadedComment ref="R20" dT="2022-02-22T10:05:38.77" personId="{00000000-0000-0000-0000-000000000000}" id="{16225F9C-CE7D-D542-A87C-42ECCFB091AB}">
    <text>This is the part of the measurement variation coming from repeatibility, i.e. the method used</text>
  </threadedComment>
  <threadedComment ref="U20" dT="2022-02-22T10:04:47.81" personId="{00000000-0000-0000-0000-000000000000}" id="{C7BCAE79-5C6C-644B-B53B-45A58BE17067}">
    <text>This is the part of the measurement variation coming from reproducibility, i.e. affected by operators</text>
  </threadedComment>
  <threadedComment ref="V20" dT="2022-02-22T10:04:02.21" personId="{00000000-0000-0000-0000-000000000000}" id="{A6215CE6-4953-2D48-AC8B-93ED9691B5D1}">
    <text>This is the variation from the measurement - You want this to be as low as possible</text>
  </threadedComment>
</ThreadedComments>
</file>

<file path=xl/threadedComments/threadedComment9.xml><?xml version="1.0" encoding="utf-8"?>
<ThreadedComments xmlns="http://schemas.microsoft.com/office/spreadsheetml/2018/threadedcomments" xmlns:x="http://schemas.openxmlformats.org/spreadsheetml/2006/main">
  <threadedComment ref="C29" dT="2022-01-29T18:02:03.87" personId="{16E5DF90-5915-4E4B-9F89-4298BE5665C9}" id="{AB6005C4-0FCC-4A5B-AD87-BD6236319D6F}">
    <text>This is the data populating the AD p-value in the graphical summary sheet</text>
  </threadedComment>
</ThreadedComments>
</file>

<file path=xl/threadedComments/threadedComment10.xml><?xml version="1.0" encoding="utf-8"?>
<ThreadedComments xmlns="http://schemas.microsoft.com/office/spreadsheetml/2018/threadedcomments" xmlns:x="http://schemas.openxmlformats.org/spreadsheetml/2006/main">
  <threadedComment ref="F1" dT="2022-01-29T20:14:12.15" personId="{16E5DF90-5915-4E4B-9F89-4298BE5665C9}" id="{97F421A3-C2C1-4F65-B8B4-6EB46CEBE715}">
    <text>Use for "monitored" KPIs</text>
  </threadedComment>
</ThreadedComments>
</file>

<file path=xl/threadedComments/threadedComment11.xml><?xml version="1.0" encoding="utf-8"?>
<ThreadedComments xmlns="http://schemas.microsoft.com/office/spreadsheetml/2018/threadedcomments" xmlns:x="http://schemas.openxmlformats.org/spreadsheetml/2006/main">
  <threadedComment ref="A3" dT="2022-01-29T17:06:35.56" personId="{16E5DF90-5915-4E4B-9F89-4298BE5665C9}" id="{DB93FAAF-E1FD-405E-AA90-205B47B2D8EB}">
    <text>Consider splitting in 2 columns if it is easier (1 for process steps, 1 for process inputs)</text>
  </threadedComment>
</ThreadedComments>
</file>

<file path=xl/worksheets/_rels/sheet1.xml.rels><?xml version="1.0" encoding="UTF-8" standalone="yes"?>
<Relationships xmlns="http://schemas.openxmlformats.org/package/2006/relationships"><Relationship Id="rId3" Type="http://schemas.openxmlformats.org/officeDocument/2006/relationships/customProperty" Target="../customProperty3.bin"/><Relationship Id="rId2" Type="http://schemas.openxmlformats.org/officeDocument/2006/relationships/customProperty" Target="../customProperty2.bin"/><Relationship Id="rId1" Type="http://schemas.openxmlformats.org/officeDocument/2006/relationships/customProperty" Target="../customProperty1.bin"/><Relationship Id="rId4" Type="http://schemas.openxmlformats.org/officeDocument/2006/relationships/customProperty" Target="../customProperty4.bin"/></Relationships>
</file>

<file path=xl/worksheets/_rels/sheet2.xml.rels><?xml version="1.0" encoding="UTF-8" standalone="yes"?>
<Relationships xmlns="http://schemas.openxmlformats.org/package/2006/relationships"><Relationship Id="rId3" Type="http://schemas.openxmlformats.org/officeDocument/2006/relationships/customProperty" Target="../customProperty5.bin"/><Relationship Id="rId2" Type="http://schemas.openxmlformats.org/officeDocument/2006/relationships/printerSettings" Target="../printerSettings/printerSettings1.bin"/><Relationship Id="rId1" Type="http://schemas.openxmlformats.org/officeDocument/2006/relationships/hyperlink" Target="https://support.microsoft.com/en-us/office/load-the-analysis-toolpak-in-excel-6a63e598-cd6d-42e3-9317-6b40ba1a66b4" TargetMode="External"/><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 Id="rId4" Type="http://schemas.microsoft.com/office/2017/10/relationships/threadedComment" Target="../threadedComments/threadedComment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 Id="rId4" Type="http://schemas.microsoft.com/office/2017/10/relationships/threadedComment" Target="../threadedComments/threadedComment3.xml"/></Relationships>
</file>

<file path=xl/worksheets/_rels/sheet9.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 Id="rId4" Type="http://schemas.microsoft.com/office/2017/10/relationships/threadedComment" Target="../threadedComments/threadedComment4.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0.bin"/><Relationship Id="rId4" Type="http://schemas.microsoft.com/office/2017/10/relationships/threadedComment" Target="../threadedComments/threadedComment5.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3.bin"/><Relationship Id="rId4" Type="http://schemas.microsoft.com/office/2017/10/relationships/threadedComment" Target="../threadedComments/threadedComment6.xml"/></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customProperty" Target="../customProperty6.bin"/><Relationship Id="rId1" Type="http://schemas.openxmlformats.org/officeDocument/2006/relationships/printerSettings" Target="../printerSettings/printerSettings14.bin"/><Relationship Id="rId6" Type="http://schemas.microsoft.com/office/2017/10/relationships/threadedComment" Target="../threadedComments/threadedComment7.xml"/><Relationship Id="rId5" Type="http://schemas.openxmlformats.org/officeDocument/2006/relationships/comments" Target="../comments8.xml"/><Relationship Id="rId4" Type="http://schemas.openxmlformats.org/officeDocument/2006/relationships/vmlDrawing" Target="../drawings/vmlDrawing8.v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9.bin"/><Relationship Id="rId1" Type="http://schemas.openxmlformats.org/officeDocument/2006/relationships/hyperlink" Target="http://www.muelaner.com/quality-assurance/gage-r-and-r-excel/" TargetMode="External"/><Relationship Id="rId6" Type="http://schemas.microsoft.com/office/2017/10/relationships/threadedComment" Target="../threadedComments/threadedComment8.xml"/><Relationship Id="rId5" Type="http://schemas.openxmlformats.org/officeDocument/2006/relationships/comments" Target="../comments9.xml"/><Relationship Id="rId4" Type="http://schemas.openxmlformats.org/officeDocument/2006/relationships/vmlDrawing" Target="../drawings/vmlDrawing9.v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9.xml"/><Relationship Id="rId1" Type="http://schemas.openxmlformats.org/officeDocument/2006/relationships/printerSettings" Target="../printerSettings/printerSettings20.bin"/><Relationship Id="rId4" Type="http://schemas.openxmlformats.org/officeDocument/2006/relationships/comments" Target="../comments10.xml"/></Relationships>
</file>

<file path=xl/worksheets/_rels/sheet22.xml.rels><?xml version="1.0" encoding="UTF-8" standalone="yes"?>
<Relationships xmlns="http://schemas.openxmlformats.org/package/2006/relationships"><Relationship Id="rId8" Type="http://schemas.openxmlformats.org/officeDocument/2006/relationships/image" Target="../media/image4.emf"/><Relationship Id="rId3" Type="http://schemas.openxmlformats.org/officeDocument/2006/relationships/hyperlink" Target="http://www.kevinotto.com/RSS/templates/Anderson-Darling%20Normality%20Test%20Calculator.xls" TargetMode="External"/><Relationship Id="rId7" Type="http://schemas.openxmlformats.org/officeDocument/2006/relationships/oleObject" Target="../embeddings/oleObject1.bin"/><Relationship Id="rId12" Type="http://schemas.microsoft.com/office/2017/10/relationships/threadedComment" Target="../threadedComments/threadedComment9.xml"/><Relationship Id="rId2" Type="http://schemas.openxmlformats.org/officeDocument/2006/relationships/hyperlink" Target="http://www.kevinotto.com/" TargetMode="External"/><Relationship Id="rId1" Type="http://schemas.openxmlformats.org/officeDocument/2006/relationships/hyperlink" Target="mailto:kevin_n_otto@yahoo.com" TargetMode="External"/><Relationship Id="rId6" Type="http://schemas.openxmlformats.org/officeDocument/2006/relationships/vmlDrawing" Target="../drawings/vmlDrawing11.vml"/><Relationship Id="rId11" Type="http://schemas.openxmlformats.org/officeDocument/2006/relationships/comments" Target="../comments11.xml"/><Relationship Id="rId5" Type="http://schemas.openxmlformats.org/officeDocument/2006/relationships/drawing" Target="../drawings/drawing11.xml"/><Relationship Id="rId10" Type="http://schemas.openxmlformats.org/officeDocument/2006/relationships/image" Target="../media/image5.emf"/><Relationship Id="rId4" Type="http://schemas.openxmlformats.org/officeDocument/2006/relationships/printerSettings" Target="../printerSettings/printerSettings21.bin"/><Relationship Id="rId9" Type="http://schemas.openxmlformats.org/officeDocument/2006/relationships/oleObject" Target="../embeddings/oleObject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customProperty" Target="../customProperty7.bin"/><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customProperty" Target="../customProperty8.bin"/><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customProperty" Target="../customProperty9.bin"/><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customProperty" Target="../customProperty10.bin"/><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customProperty" Target="../customProperty11.bin"/><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customProperty" Target="../customProperty12.bin"/><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customProperty" Target="../customProperty13.bin"/><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34.bin"/><Relationship Id="rId4" Type="http://schemas.microsoft.com/office/2017/10/relationships/threadedComment" Target="../threadedComments/threadedComment10.xml"/></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3" Type="http://schemas.openxmlformats.org/officeDocument/2006/relationships/drawing" Target="../drawings/drawing30.xml"/><Relationship Id="rId2" Type="http://schemas.openxmlformats.org/officeDocument/2006/relationships/customProperty" Target="../customProperty14.bin"/><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33.xml"/><Relationship Id="rId1" Type="http://schemas.openxmlformats.org/officeDocument/2006/relationships/printerSettings" Target="../printerSettings/printerSettings48.bin"/><Relationship Id="rId5" Type="http://schemas.microsoft.com/office/2017/10/relationships/threadedComment" Target="../threadedComments/threadedComment11.xml"/><Relationship Id="rId4" Type="http://schemas.openxmlformats.org/officeDocument/2006/relationships/comments" Target="../comments13.xml"/></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B4"/>
  <sheetViews>
    <sheetView workbookViewId="0"/>
  </sheetViews>
  <sheetFormatPr defaultColWidth="8.7109375" defaultRowHeight="15"/>
  <sheetData>
    <row r="2" spans="1:2">
      <c r="A2" t="s">
        <v>0</v>
      </c>
      <c r="B2">
        <v>1</v>
      </c>
    </row>
    <row r="3" spans="1:2">
      <c r="A3" t="s">
        <v>1</v>
      </c>
      <c r="B3">
        <v>2</v>
      </c>
    </row>
    <row r="4" spans="1:2">
      <c r="B4" t="s">
        <v>2</v>
      </c>
    </row>
  </sheetData>
  <pageMargins left="0.7" right="0.7" top="0.75" bottom="0.75" header="0.3" footer="0.3"/>
  <customProperties>
    <customPr name="ORB_SHEETNAME" r:id="rId1"/>
    <customPr name="RB_PATH_SEPARATOR" r:id="rId2"/>
    <customPr name="RB_WORKBOOK_DATARECENCY_CURRENT" r:id="rId3"/>
    <customPr name="RB_WORKBOOK_VERSION" r:id="rId4"/>
  </customPropertie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C00000"/>
    <pageSetUpPr fitToPage="1"/>
  </sheetPr>
  <dimension ref="A1:AA63"/>
  <sheetViews>
    <sheetView topLeftCell="A7" zoomScale="80" zoomScaleNormal="80" workbookViewId="0">
      <selection activeCell="K21" sqref="K21"/>
    </sheetView>
  </sheetViews>
  <sheetFormatPr defaultColWidth="8.7109375" defaultRowHeight="15"/>
  <cols>
    <col min="1" max="1" width="3.28515625" customWidth="1"/>
    <col min="2" max="2" width="15.28515625" customWidth="1"/>
    <col min="5" max="5" width="3.7109375" customWidth="1"/>
    <col min="6" max="6" width="3.28515625" customWidth="1"/>
    <col min="7" max="7" width="33.7109375" customWidth="1"/>
    <col min="8" max="8" width="3.7109375" customWidth="1"/>
    <col min="9" max="9" width="16.42578125" bestFit="1" customWidth="1"/>
    <col min="10" max="10" width="3.7109375" customWidth="1"/>
    <col min="11" max="11" width="16.5703125" bestFit="1" customWidth="1"/>
    <col min="12" max="12" width="3.7109375" customWidth="1"/>
    <col min="13" max="13" width="4.28515625" customWidth="1"/>
    <col min="14" max="14" width="32.28515625" customWidth="1"/>
  </cols>
  <sheetData>
    <row r="1" spans="1:27" ht="48.6" customHeight="1">
      <c r="A1" s="492"/>
      <c r="B1" s="1194" t="s">
        <v>3</v>
      </c>
      <c r="C1" s="1194"/>
      <c r="D1" s="1194"/>
      <c r="E1" s="1194"/>
      <c r="F1" s="1194"/>
      <c r="G1" s="1194"/>
      <c r="H1" s="1194"/>
      <c r="I1" s="1194"/>
      <c r="J1" s="1194"/>
      <c r="K1" s="1194"/>
      <c r="L1" s="1194"/>
      <c r="M1" s="1194"/>
      <c r="N1" s="1194"/>
      <c r="O1" s="1194"/>
      <c r="P1" s="1194"/>
    </row>
    <row r="2" spans="1:27">
      <c r="A2" s="492"/>
      <c r="B2" s="470" t="s">
        <v>4</v>
      </c>
      <c r="C2" s="492"/>
      <c r="D2" s="492"/>
      <c r="E2" s="492"/>
      <c r="F2" s="492"/>
      <c r="G2" s="492"/>
      <c r="H2" s="492"/>
      <c r="I2" s="492"/>
      <c r="J2" s="492"/>
      <c r="K2" s="492"/>
      <c r="L2" s="492"/>
      <c r="M2" s="492"/>
      <c r="N2" s="492"/>
      <c r="O2" s="492"/>
      <c r="P2" s="492"/>
    </row>
    <row r="3" spans="1:27">
      <c r="A3" s="492"/>
      <c r="B3" s="483" t="s">
        <v>5</v>
      </c>
      <c r="C3" s="492" t="s">
        <v>6</v>
      </c>
      <c r="D3" s="492"/>
      <c r="E3" s="492"/>
      <c r="F3" s="492"/>
      <c r="G3" s="492"/>
      <c r="H3" s="492"/>
      <c r="I3" s="492"/>
      <c r="J3" s="492"/>
      <c r="K3" s="492"/>
      <c r="L3" s="492"/>
      <c r="M3" s="492"/>
      <c r="N3" s="492"/>
      <c r="O3" s="492"/>
      <c r="P3" s="492"/>
    </row>
    <row r="4" spans="1:27">
      <c r="A4" s="492"/>
      <c r="B4" s="493">
        <v>0</v>
      </c>
      <c r="C4" s="492" t="s">
        <v>7</v>
      </c>
      <c r="D4" s="492"/>
      <c r="E4" s="492"/>
      <c r="F4" s="492"/>
      <c r="G4" s="492"/>
      <c r="H4" s="492"/>
      <c r="I4" s="492"/>
      <c r="J4" s="492"/>
      <c r="K4" s="492"/>
      <c r="L4" s="492"/>
      <c r="M4" s="492"/>
      <c r="N4" s="492"/>
      <c r="O4" s="492"/>
      <c r="P4" s="492"/>
    </row>
    <row r="5" spans="1:27">
      <c r="A5" s="492"/>
      <c r="B5" s="492"/>
      <c r="C5" s="492"/>
      <c r="D5" s="492"/>
      <c r="E5" s="492"/>
      <c r="F5" s="492"/>
      <c r="G5" s="492"/>
      <c r="H5" s="492"/>
      <c r="I5" s="492"/>
      <c r="J5" s="492"/>
      <c r="K5" s="492"/>
      <c r="L5" s="492"/>
      <c r="M5" s="492"/>
      <c r="N5" s="492"/>
      <c r="O5" s="492"/>
      <c r="P5" s="492"/>
    </row>
    <row r="6" spans="1:27" s="472" customFormat="1">
      <c r="A6" s="471"/>
      <c r="B6" s="921" t="s">
        <v>8</v>
      </c>
      <c r="C6" s="471"/>
      <c r="D6" s="471"/>
      <c r="E6" s="471"/>
      <c r="F6" s="471"/>
      <c r="G6" s="471"/>
      <c r="H6" s="471"/>
      <c r="I6" s="471"/>
      <c r="J6" s="471"/>
      <c r="K6" s="471"/>
      <c r="L6" s="471"/>
      <c r="M6" s="471"/>
      <c r="N6" s="471"/>
      <c r="O6" s="471"/>
      <c r="P6" s="471"/>
    </row>
    <row r="7" spans="1:27" s="1" customFormat="1" ht="36" customHeight="1">
      <c r="A7" s="473"/>
      <c r="B7" s="1195" t="s">
        <v>9</v>
      </c>
      <c r="C7" s="1195"/>
      <c r="D7" s="1195"/>
      <c r="E7" s="1195"/>
      <c r="F7" s="1195"/>
      <c r="G7" s="1195"/>
      <c r="H7" s="1195"/>
      <c r="I7" s="1195"/>
      <c r="J7" s="1195"/>
      <c r="K7" s="1195"/>
      <c r="L7" s="1195"/>
      <c r="M7" s="1195"/>
      <c r="N7" s="1195"/>
      <c r="O7" s="1195"/>
      <c r="P7" s="1195"/>
    </row>
    <row r="8" spans="1:27" ht="18" customHeight="1">
      <c r="A8" s="492"/>
      <c r="B8" s="474" t="s">
        <v>10</v>
      </c>
      <c r="C8" s="492"/>
      <c r="D8" s="492"/>
      <c r="E8" s="492"/>
      <c r="F8" s="492"/>
      <c r="G8" s="492"/>
      <c r="H8" s="492"/>
      <c r="I8" s="475"/>
      <c r="J8" s="475"/>
      <c r="K8" s="475"/>
      <c r="L8" s="475"/>
      <c r="M8" s="475"/>
      <c r="N8" s="475"/>
      <c r="O8" s="475"/>
      <c r="P8" s="475"/>
      <c r="Q8" s="476"/>
      <c r="R8" s="476"/>
      <c r="S8" s="476"/>
      <c r="T8" s="476"/>
      <c r="U8" s="476"/>
      <c r="V8" s="476"/>
      <c r="W8" s="476"/>
      <c r="X8" s="476"/>
      <c r="Y8" s="476"/>
      <c r="Z8" s="476"/>
      <c r="AA8" s="476"/>
    </row>
    <row r="9" spans="1:27">
      <c r="A9" s="492"/>
      <c r="B9" s="474" t="s">
        <v>11</v>
      </c>
      <c r="C9" s="492"/>
      <c r="D9" s="492"/>
      <c r="E9" s="492"/>
      <c r="F9" s="492"/>
      <c r="G9" s="492"/>
      <c r="H9" s="492"/>
      <c r="I9" s="475"/>
      <c r="J9" s="475"/>
      <c r="K9" s="475"/>
      <c r="L9" s="475"/>
      <c r="M9" s="475"/>
      <c r="N9" s="475"/>
      <c r="O9" s="475"/>
      <c r="P9" s="475"/>
      <c r="Q9" s="476"/>
      <c r="R9" s="476"/>
      <c r="S9" s="476"/>
      <c r="T9" s="476"/>
      <c r="U9" s="476"/>
      <c r="V9" s="476"/>
      <c r="W9" s="476"/>
      <c r="X9" s="476"/>
      <c r="Y9" s="476"/>
      <c r="Z9" s="476"/>
      <c r="AA9" s="476"/>
    </row>
    <row r="10" spans="1:27">
      <c r="A10" s="492"/>
      <c r="B10" s="474" t="s">
        <v>12</v>
      </c>
      <c r="C10" s="492"/>
      <c r="D10" s="492"/>
      <c r="E10" s="492"/>
      <c r="F10" s="492"/>
      <c r="G10" s="492"/>
      <c r="H10" s="492"/>
      <c r="I10" s="492"/>
      <c r="J10" s="492"/>
      <c r="K10" s="492"/>
      <c r="L10" s="492"/>
      <c r="M10" s="492"/>
      <c r="N10" s="492"/>
      <c r="O10" s="492"/>
      <c r="P10" s="492"/>
    </row>
    <row r="11" spans="1:27">
      <c r="A11" s="492"/>
      <c r="B11" s="474" t="s">
        <v>13</v>
      </c>
      <c r="C11" s="492"/>
      <c r="D11" s="492"/>
      <c r="E11" s="492"/>
      <c r="F11" s="492"/>
      <c r="G11" s="492"/>
      <c r="H11" s="492"/>
      <c r="I11" s="492"/>
      <c r="J11" s="492"/>
      <c r="K11" s="492"/>
      <c r="L11" s="492"/>
      <c r="M11" s="492"/>
      <c r="N11" s="492"/>
      <c r="O11" s="492"/>
      <c r="P11" s="492"/>
    </row>
    <row r="12" spans="1:27">
      <c r="A12" s="492"/>
      <c r="B12" s="477" t="s">
        <v>14</v>
      </c>
      <c r="C12" s="492"/>
      <c r="D12" s="492"/>
      <c r="E12" s="492"/>
      <c r="F12" s="492"/>
      <c r="G12" s="492"/>
      <c r="H12" s="492"/>
      <c r="I12" s="492"/>
      <c r="J12" s="492"/>
      <c r="K12" s="492"/>
      <c r="L12" s="492"/>
      <c r="M12" s="492"/>
      <c r="N12" s="492"/>
      <c r="O12" s="492"/>
      <c r="P12" s="492"/>
    </row>
    <row r="13" spans="1:27">
      <c r="A13" s="492"/>
      <c r="B13" s="478" t="s">
        <v>15</v>
      </c>
      <c r="C13" s="492"/>
      <c r="D13" s="492"/>
      <c r="E13" s="492"/>
      <c r="F13" s="492"/>
      <c r="G13" s="492"/>
      <c r="H13" s="492"/>
      <c r="I13" s="492"/>
      <c r="J13" s="492"/>
      <c r="K13" s="492"/>
      <c r="L13" s="492"/>
      <c r="M13" s="492"/>
      <c r="N13" s="492"/>
      <c r="O13" s="492"/>
      <c r="P13" s="492"/>
    </row>
    <row r="14" spans="1:27" ht="19.149999999999999" customHeight="1">
      <c r="A14" s="492"/>
      <c r="B14" s="1196" t="s">
        <v>16</v>
      </c>
      <c r="C14" s="1196"/>
      <c r="D14" s="1196"/>
      <c r="E14" s="1196"/>
      <c r="F14" s="1196"/>
      <c r="G14" s="1196"/>
      <c r="H14" s="1196"/>
      <c r="I14" s="1196"/>
      <c r="J14" s="1196"/>
      <c r="K14" s="1196"/>
      <c r="L14" s="1196"/>
      <c r="M14" s="1196"/>
      <c r="N14" s="1196"/>
      <c r="O14" s="1196"/>
      <c r="P14" s="1196"/>
    </row>
    <row r="15" spans="1:27">
      <c r="A15" s="492"/>
      <c r="B15" s="494"/>
      <c r="C15" s="492"/>
      <c r="D15" s="492"/>
      <c r="E15" s="492"/>
      <c r="F15" s="492"/>
      <c r="G15" s="492"/>
      <c r="H15" s="492"/>
      <c r="I15" s="492"/>
      <c r="J15" s="492"/>
      <c r="K15" s="492"/>
      <c r="L15" s="492"/>
      <c r="M15" s="492"/>
      <c r="N15" s="492"/>
      <c r="O15" s="492"/>
      <c r="P15" s="492"/>
    </row>
    <row r="16" spans="1:27">
      <c r="A16" s="492"/>
      <c r="B16" s="1198" t="s">
        <v>17</v>
      </c>
      <c r="C16" s="1198"/>
      <c r="D16" s="1198"/>
      <c r="E16" s="1198"/>
      <c r="F16" s="1198"/>
      <c r="G16" s="1198"/>
      <c r="H16" s="1198"/>
      <c r="I16" s="1198"/>
      <c r="J16" s="1198"/>
      <c r="K16" s="1198"/>
      <c r="L16" s="1198"/>
      <c r="M16" s="1198"/>
      <c r="N16" s="1198"/>
      <c r="O16" s="492"/>
      <c r="P16" s="492"/>
    </row>
    <row r="17" spans="1:16">
      <c r="A17" s="492"/>
      <c r="B17" s="1198"/>
      <c r="C17" s="1198"/>
      <c r="D17" s="1198"/>
      <c r="E17" s="1198"/>
      <c r="F17" s="1198"/>
      <c r="G17" s="1198"/>
      <c r="H17" s="1198"/>
      <c r="I17" s="1198"/>
      <c r="J17" s="1198"/>
      <c r="K17" s="1198"/>
      <c r="L17" s="1198"/>
      <c r="M17" s="1198"/>
      <c r="N17" s="1198"/>
      <c r="O17" s="492"/>
      <c r="P17" s="492"/>
    </row>
    <row r="18" spans="1:16">
      <c r="A18" s="492"/>
      <c r="B18" s="926" t="s">
        <v>18</v>
      </c>
      <c r="C18" s="926"/>
      <c r="D18" s="497" t="s">
        <v>19</v>
      </c>
      <c r="E18" s="496"/>
      <c r="F18" s="1197" t="s">
        <v>20</v>
      </c>
      <c r="G18" s="1197"/>
      <c r="H18" s="496"/>
      <c r="I18" s="497" t="s">
        <v>21</v>
      </c>
      <c r="J18" s="496"/>
      <c r="K18" s="497" t="s">
        <v>22</v>
      </c>
      <c r="L18" s="496"/>
      <c r="M18" s="1197" t="s">
        <v>23</v>
      </c>
      <c r="N18" s="1197"/>
      <c r="O18" s="479"/>
      <c r="P18" s="492"/>
    </row>
    <row r="19" spans="1:16">
      <c r="A19" s="492"/>
      <c r="B19" s="927" t="s">
        <v>24</v>
      </c>
      <c r="C19" s="492"/>
      <c r="D19" s="927" t="s">
        <v>25</v>
      </c>
      <c r="E19" s="492"/>
      <c r="F19" s="927" t="s">
        <v>26</v>
      </c>
      <c r="G19" s="492"/>
      <c r="H19" s="492"/>
      <c r="I19" s="927" t="s">
        <v>27</v>
      </c>
      <c r="J19" s="492"/>
      <c r="K19" s="927" t="s">
        <v>28</v>
      </c>
      <c r="L19" s="492"/>
      <c r="M19" s="927" t="s">
        <v>29</v>
      </c>
      <c r="N19" s="928"/>
      <c r="O19" s="492"/>
      <c r="P19" s="492"/>
    </row>
    <row r="20" spans="1:16">
      <c r="A20" s="492"/>
      <c r="B20" s="927" t="s">
        <v>30</v>
      </c>
      <c r="C20" s="492"/>
      <c r="D20" s="927" t="s">
        <v>31</v>
      </c>
      <c r="E20" s="492"/>
      <c r="F20" s="927" t="s">
        <v>32</v>
      </c>
      <c r="G20" s="492"/>
      <c r="H20" s="492"/>
      <c r="I20" s="499" t="s">
        <v>33</v>
      </c>
      <c r="J20" s="492"/>
      <c r="K20" s="927" t="s">
        <v>34</v>
      </c>
      <c r="L20" s="492"/>
      <c r="M20" s="499" t="s">
        <v>35</v>
      </c>
      <c r="N20" s="492"/>
      <c r="O20" s="492"/>
      <c r="P20" s="492"/>
    </row>
    <row r="21" spans="1:16">
      <c r="A21" s="492"/>
      <c r="B21" s="927" t="s">
        <v>36</v>
      </c>
      <c r="C21" s="492"/>
      <c r="D21" s="492"/>
      <c r="E21" s="492"/>
      <c r="F21" s="499" t="s">
        <v>37</v>
      </c>
      <c r="G21" s="499"/>
      <c r="H21" s="492"/>
      <c r="I21" s="499" t="s">
        <v>38</v>
      </c>
      <c r="J21" s="492"/>
      <c r="K21" s="927" t="s">
        <v>39</v>
      </c>
      <c r="L21" s="492"/>
      <c r="M21" s="499" t="s">
        <v>40</v>
      </c>
      <c r="N21" s="492"/>
      <c r="O21" s="492"/>
      <c r="P21" s="492"/>
    </row>
    <row r="22" spans="1:16">
      <c r="A22" s="492"/>
      <c r="B22" s="927" t="s">
        <v>41</v>
      </c>
      <c r="C22" s="492"/>
      <c r="D22" s="492"/>
      <c r="E22" s="492"/>
      <c r="F22" s="927" t="s">
        <v>42</v>
      </c>
      <c r="G22" s="492"/>
      <c r="H22" s="492"/>
      <c r="I22" s="927" t="s">
        <v>43</v>
      </c>
      <c r="J22" s="492"/>
      <c r="K22" s="927" t="s">
        <v>44</v>
      </c>
      <c r="L22" s="492"/>
      <c r="M22" s="499" t="s">
        <v>45</v>
      </c>
      <c r="N22" s="492"/>
      <c r="O22" s="492"/>
      <c r="P22" s="492"/>
    </row>
    <row r="23" spans="1:16">
      <c r="A23" s="492"/>
      <c r="B23" s="927" t="s">
        <v>46</v>
      </c>
      <c r="C23" s="492"/>
      <c r="D23" s="492"/>
      <c r="E23" s="492"/>
      <c r="F23" s="927" t="s">
        <v>47</v>
      </c>
      <c r="G23" s="492"/>
      <c r="H23" s="492"/>
      <c r="I23" s="927" t="s">
        <v>48</v>
      </c>
      <c r="J23" s="492"/>
      <c r="K23" s="927" t="s">
        <v>49</v>
      </c>
      <c r="L23" s="492"/>
      <c r="M23" s="499" t="s">
        <v>50</v>
      </c>
      <c r="N23" s="492"/>
      <c r="O23" s="492"/>
      <c r="P23" s="492"/>
    </row>
    <row r="24" spans="1:16">
      <c r="A24" s="492"/>
      <c r="B24" s="927" t="s">
        <v>51</v>
      </c>
      <c r="C24" s="492"/>
      <c r="D24" s="492"/>
      <c r="E24" s="492"/>
      <c r="F24" s="927" t="s">
        <v>52</v>
      </c>
      <c r="G24" s="492"/>
      <c r="H24" s="492"/>
      <c r="I24" s="927" t="s">
        <v>53</v>
      </c>
      <c r="J24" s="492"/>
      <c r="K24" s="927" t="s">
        <v>37</v>
      </c>
      <c r="L24" s="492"/>
      <c r="M24" s="499" t="s">
        <v>54</v>
      </c>
      <c r="N24" s="492"/>
      <c r="O24" s="492"/>
      <c r="P24" s="492"/>
    </row>
    <row r="25" spans="1:16">
      <c r="A25" s="492"/>
      <c r="B25" s="927" t="s">
        <v>55</v>
      </c>
      <c r="C25" s="492"/>
      <c r="D25" s="492"/>
      <c r="E25" s="492"/>
      <c r="F25" s="927" t="s">
        <v>35</v>
      </c>
      <c r="G25" s="492"/>
      <c r="H25" s="492"/>
      <c r="I25" s="927" t="s">
        <v>56</v>
      </c>
      <c r="J25" s="492"/>
      <c r="K25" s="492"/>
      <c r="L25" s="492"/>
      <c r="M25" s="492"/>
      <c r="N25" s="492"/>
      <c r="O25" s="492"/>
      <c r="P25" s="492"/>
    </row>
    <row r="26" spans="1:16">
      <c r="A26" s="492"/>
      <c r="B26" s="927" t="s">
        <v>57</v>
      </c>
      <c r="C26" s="492"/>
      <c r="D26" s="492"/>
      <c r="E26" s="492"/>
      <c r="F26" s="927" t="s">
        <v>40</v>
      </c>
      <c r="G26" s="492"/>
      <c r="H26" s="492"/>
      <c r="I26" s="927" t="s">
        <v>58</v>
      </c>
      <c r="J26" s="492"/>
      <c r="K26" s="492"/>
      <c r="L26" s="492"/>
      <c r="M26" s="492"/>
      <c r="N26" s="492"/>
      <c r="O26" s="492"/>
      <c r="P26" s="492"/>
    </row>
    <row r="27" spans="1:16">
      <c r="A27" s="492"/>
      <c r="B27" s="927" t="s">
        <v>59</v>
      </c>
      <c r="C27" s="492"/>
      <c r="D27" s="492"/>
      <c r="E27" s="492"/>
      <c r="F27" s="927" t="s">
        <v>45</v>
      </c>
      <c r="G27" s="492"/>
      <c r="H27" s="492"/>
      <c r="I27" s="927" t="s">
        <v>60</v>
      </c>
      <c r="J27" s="492"/>
      <c r="K27" s="492"/>
      <c r="L27" s="492"/>
      <c r="M27" s="492"/>
      <c r="N27" s="492"/>
      <c r="O27" s="492"/>
      <c r="P27" s="492"/>
    </row>
    <row r="28" spans="1:16">
      <c r="A28" s="492"/>
      <c r="B28" s="492"/>
      <c r="C28" s="492"/>
      <c r="D28" s="492"/>
      <c r="E28" s="492"/>
      <c r="F28" s="927" t="s">
        <v>33</v>
      </c>
      <c r="G28" s="492"/>
      <c r="H28" s="492"/>
      <c r="I28" s="927" t="s">
        <v>61</v>
      </c>
      <c r="J28" s="492"/>
      <c r="K28" s="492"/>
      <c r="L28" s="492"/>
      <c r="M28" s="492"/>
      <c r="N28" s="492"/>
      <c r="O28" s="492"/>
      <c r="P28" s="492"/>
    </row>
    <row r="29" spans="1:16">
      <c r="A29" s="492"/>
      <c r="B29" s="492"/>
      <c r="C29" s="492"/>
      <c r="D29" s="492"/>
      <c r="E29" s="492"/>
      <c r="F29" s="927" t="s">
        <v>38</v>
      </c>
      <c r="G29" s="492"/>
      <c r="H29" s="492"/>
      <c r="I29" s="492"/>
      <c r="J29" s="492"/>
      <c r="K29" s="492"/>
      <c r="L29" s="492"/>
      <c r="M29" s="492"/>
      <c r="N29" s="492"/>
      <c r="O29" s="492"/>
    </row>
    <row r="30" spans="1:16">
      <c r="A30" s="492"/>
      <c r="B30" s="492"/>
      <c r="C30" s="492"/>
      <c r="D30" s="492"/>
      <c r="E30" s="492"/>
      <c r="F30" s="927" t="s">
        <v>62</v>
      </c>
      <c r="G30" s="492"/>
      <c r="H30" s="492"/>
      <c r="I30" s="492"/>
      <c r="J30" s="492"/>
      <c r="K30" s="492"/>
      <c r="L30" s="492"/>
      <c r="M30" s="492"/>
      <c r="N30" s="492"/>
      <c r="O30" s="492"/>
    </row>
    <row r="31" spans="1:16">
      <c r="A31" s="492"/>
      <c r="B31" s="492"/>
      <c r="C31" s="492"/>
      <c r="D31" s="492"/>
      <c r="E31" s="492"/>
      <c r="F31" s="492"/>
      <c r="G31" s="927" t="s">
        <v>63</v>
      </c>
      <c r="H31" s="492"/>
      <c r="I31" s="492"/>
      <c r="J31" s="492"/>
      <c r="K31" s="492"/>
      <c r="L31" s="492"/>
      <c r="M31" s="492"/>
      <c r="N31" s="492"/>
      <c r="O31" s="492"/>
    </row>
    <row r="32" spans="1:16">
      <c r="A32" s="492"/>
      <c r="B32" s="492"/>
      <c r="C32" s="492"/>
      <c r="D32" s="492"/>
      <c r="E32" s="492"/>
      <c r="F32" s="492"/>
      <c r="G32" s="927" t="s">
        <v>64</v>
      </c>
      <c r="H32" s="492"/>
      <c r="I32" s="492"/>
      <c r="J32" s="492"/>
      <c r="K32" s="492"/>
      <c r="L32" s="492"/>
      <c r="M32" s="492"/>
      <c r="N32" s="492"/>
      <c r="O32" s="492"/>
    </row>
    <row r="33" spans="2:15">
      <c r="B33" s="492"/>
      <c r="C33" s="492"/>
      <c r="D33" s="492"/>
      <c r="E33" s="492"/>
      <c r="F33" s="492"/>
      <c r="G33" s="927" t="s">
        <v>65</v>
      </c>
      <c r="H33" s="492"/>
      <c r="I33" s="492"/>
      <c r="J33" s="492"/>
      <c r="K33" s="492"/>
      <c r="L33" s="492"/>
      <c r="M33" s="492"/>
      <c r="N33" s="492"/>
      <c r="O33" s="492"/>
    </row>
    <row r="34" spans="2:15">
      <c r="B34" s="492"/>
      <c r="C34" s="492"/>
      <c r="D34" s="492"/>
      <c r="E34" s="492"/>
      <c r="F34" s="492"/>
      <c r="G34" s="927" t="s">
        <v>66</v>
      </c>
      <c r="H34" s="492"/>
      <c r="I34" s="492"/>
      <c r="J34" s="492"/>
      <c r="K34" s="492"/>
      <c r="L34" s="492"/>
      <c r="M34" s="492"/>
      <c r="N34" s="492"/>
      <c r="O34" s="492"/>
    </row>
    <row r="35" spans="2:15">
      <c r="B35" s="492"/>
      <c r="C35" s="492"/>
      <c r="D35" s="492"/>
      <c r="E35" s="492"/>
      <c r="F35" s="492"/>
      <c r="G35" s="927" t="s">
        <v>67</v>
      </c>
      <c r="H35" s="492"/>
      <c r="I35" s="492"/>
      <c r="J35" s="492"/>
      <c r="K35" s="492"/>
      <c r="L35" s="492"/>
      <c r="M35" s="492"/>
      <c r="N35" s="492"/>
      <c r="O35" s="492"/>
    </row>
    <row r="36" spans="2:15">
      <c r="B36" s="492"/>
      <c r="C36" s="492"/>
      <c r="D36" s="492"/>
      <c r="E36" s="492"/>
      <c r="F36" s="492"/>
      <c r="G36" s="927" t="s">
        <v>68</v>
      </c>
      <c r="H36" s="492"/>
      <c r="I36" s="492"/>
      <c r="J36" s="492"/>
      <c r="K36" s="492"/>
      <c r="L36" s="492"/>
      <c r="M36" s="492"/>
      <c r="N36" s="492"/>
      <c r="O36" s="492"/>
    </row>
    <row r="37" spans="2:15">
      <c r="B37" s="492"/>
      <c r="C37" s="492"/>
      <c r="D37" s="492"/>
      <c r="E37" s="492"/>
      <c r="F37" s="492"/>
      <c r="G37" s="927" t="s">
        <v>69</v>
      </c>
      <c r="H37" s="492"/>
      <c r="I37" s="492"/>
      <c r="J37" s="492"/>
      <c r="K37" s="492"/>
      <c r="L37" s="492"/>
      <c r="M37" s="492"/>
      <c r="N37" s="492"/>
      <c r="O37" s="492"/>
    </row>
    <row r="38" spans="2:15">
      <c r="B38" s="492"/>
      <c r="C38" s="492"/>
      <c r="D38" s="492"/>
      <c r="E38" s="492"/>
      <c r="F38" s="927" t="s">
        <v>70</v>
      </c>
      <c r="G38" s="492"/>
      <c r="H38" s="492"/>
      <c r="I38" s="492"/>
      <c r="J38" s="492"/>
      <c r="K38" s="492"/>
      <c r="L38" s="492"/>
      <c r="M38" s="492"/>
      <c r="N38" s="492"/>
      <c r="O38" s="492"/>
    </row>
    <row r="39" spans="2:15">
      <c r="B39" s="492"/>
      <c r="C39" s="492"/>
      <c r="D39" s="492"/>
      <c r="E39" s="492"/>
      <c r="F39" s="927" t="s">
        <v>54</v>
      </c>
      <c r="G39" s="492"/>
      <c r="H39" s="492"/>
      <c r="I39" s="492"/>
      <c r="J39" s="492"/>
      <c r="K39" s="492"/>
      <c r="L39" s="492"/>
      <c r="M39" s="492"/>
      <c r="N39" s="492"/>
      <c r="O39" s="492"/>
    </row>
    <row r="40" spans="2:15">
      <c r="B40" s="492"/>
      <c r="C40" s="492"/>
      <c r="D40" s="492"/>
      <c r="E40" s="492"/>
      <c r="F40" s="492"/>
      <c r="G40" s="492"/>
      <c r="H40" s="492"/>
      <c r="I40" s="492"/>
      <c r="J40" s="492"/>
      <c r="K40" s="492"/>
      <c r="L40" s="492"/>
      <c r="M40" s="492"/>
      <c r="N40" s="492"/>
      <c r="O40" s="492"/>
    </row>
    <row r="41" spans="2:15">
      <c r="B41" s="492"/>
      <c r="C41" s="492"/>
      <c r="D41" s="492"/>
      <c r="E41" s="492"/>
      <c r="F41" s="492"/>
      <c r="G41" s="492"/>
      <c r="H41" s="492"/>
      <c r="I41" s="492"/>
      <c r="J41" s="492"/>
      <c r="K41" s="492"/>
      <c r="L41" s="492"/>
      <c r="M41" s="492"/>
      <c r="N41" s="492"/>
      <c r="O41" s="492"/>
    </row>
    <row r="42" spans="2:15">
      <c r="D42" s="492"/>
      <c r="E42" s="492"/>
      <c r="F42" s="492"/>
      <c r="G42" s="492"/>
      <c r="H42" s="492"/>
      <c r="I42" s="492"/>
      <c r="J42" s="492"/>
      <c r="K42" s="492"/>
      <c r="L42" s="492"/>
      <c r="M42" s="492"/>
      <c r="N42" s="492"/>
      <c r="O42" s="492"/>
    </row>
    <row r="43" spans="2:15">
      <c r="D43" s="492"/>
      <c r="E43" s="492"/>
      <c r="F43" s="492"/>
      <c r="G43" s="492"/>
      <c r="H43" s="492"/>
      <c r="I43" s="492"/>
      <c r="J43" s="492"/>
      <c r="K43" s="492"/>
      <c r="L43" s="492"/>
      <c r="M43" s="492"/>
      <c r="N43" s="492"/>
      <c r="O43" s="492"/>
    </row>
    <row r="44" spans="2:15">
      <c r="D44" s="492"/>
      <c r="E44" s="492"/>
      <c r="F44" s="492"/>
      <c r="G44" s="492"/>
      <c r="H44" s="492"/>
      <c r="I44" s="492"/>
      <c r="J44" s="492"/>
      <c r="K44" s="492"/>
      <c r="L44" s="492"/>
      <c r="M44" s="492"/>
      <c r="N44" s="492"/>
      <c r="O44" s="492"/>
    </row>
    <row r="45" spans="2:15">
      <c r="D45" s="492"/>
      <c r="E45" s="492"/>
      <c r="F45" s="492"/>
      <c r="G45" s="492"/>
      <c r="H45" s="492"/>
      <c r="I45" s="492"/>
      <c r="J45" s="492"/>
      <c r="K45" s="492"/>
      <c r="L45" s="492"/>
      <c r="M45" s="492"/>
      <c r="N45" s="492"/>
      <c r="O45" s="492"/>
    </row>
    <row r="46" spans="2:15">
      <c r="D46" s="492"/>
      <c r="E46" s="492"/>
      <c r="F46" s="492"/>
      <c r="G46" s="492"/>
      <c r="H46" s="492"/>
      <c r="I46" s="492"/>
      <c r="J46" s="492"/>
      <c r="K46" s="492"/>
      <c r="L46" s="492"/>
      <c r="M46" s="492"/>
      <c r="N46" s="492"/>
      <c r="O46" s="492"/>
    </row>
    <row r="47" spans="2:15">
      <c r="D47" s="492"/>
      <c r="E47" s="492"/>
      <c r="F47" s="492"/>
      <c r="G47" s="492"/>
      <c r="H47" s="492"/>
      <c r="I47" s="492"/>
      <c r="J47" s="492"/>
      <c r="K47" s="492"/>
      <c r="L47" s="492"/>
      <c r="M47" s="492"/>
      <c r="N47" s="492"/>
      <c r="O47" s="492"/>
    </row>
    <row r="48" spans="2:15">
      <c r="D48" s="492"/>
      <c r="E48" s="492"/>
      <c r="F48" s="492"/>
      <c r="G48" s="492"/>
      <c r="H48" s="492"/>
      <c r="I48" s="492"/>
      <c r="J48" s="492"/>
      <c r="K48" s="492"/>
      <c r="L48" s="492"/>
      <c r="M48" s="492"/>
      <c r="N48" s="492"/>
      <c r="O48" s="492"/>
    </row>
    <row r="49" spans="4:15">
      <c r="D49" s="492"/>
      <c r="E49" s="492"/>
      <c r="F49" s="492"/>
      <c r="G49" s="492"/>
      <c r="H49" s="492"/>
      <c r="I49" s="492"/>
      <c r="J49" s="492"/>
      <c r="K49" s="492"/>
      <c r="L49" s="492"/>
      <c r="M49" s="492"/>
      <c r="N49" s="492"/>
      <c r="O49" s="492"/>
    </row>
    <row r="50" spans="4:15">
      <c r="D50" s="492"/>
      <c r="E50" s="492"/>
      <c r="F50" s="492"/>
      <c r="G50" s="492"/>
      <c r="H50" s="492"/>
      <c r="I50" s="492"/>
      <c r="J50" s="492"/>
      <c r="K50" s="492"/>
      <c r="L50" s="492"/>
      <c r="M50" s="492"/>
      <c r="N50" s="492"/>
      <c r="O50" s="492"/>
    </row>
    <row r="51" spans="4:15">
      <c r="D51" s="492"/>
      <c r="E51" s="492"/>
      <c r="F51" s="492"/>
      <c r="G51" s="492"/>
      <c r="H51" s="492"/>
      <c r="I51" s="492"/>
      <c r="J51" s="492"/>
      <c r="K51" s="492"/>
      <c r="L51" s="492"/>
      <c r="M51" s="492"/>
      <c r="N51" s="492"/>
      <c r="O51" s="492"/>
    </row>
    <row r="52" spans="4:15">
      <c r="D52" s="492"/>
      <c r="E52" s="492"/>
      <c r="F52" s="492"/>
      <c r="G52" s="492"/>
      <c r="H52" s="492"/>
      <c r="I52" s="492"/>
      <c r="J52" s="492"/>
      <c r="K52" s="492"/>
      <c r="L52" s="492"/>
      <c r="M52" s="492"/>
      <c r="N52" s="492"/>
      <c r="O52" s="492"/>
    </row>
    <row r="53" spans="4:15">
      <c r="D53" s="492"/>
      <c r="E53" s="492"/>
      <c r="F53" s="492"/>
      <c r="G53" s="492"/>
      <c r="H53" s="492"/>
      <c r="I53" s="492"/>
      <c r="J53" s="492"/>
      <c r="K53" s="492"/>
      <c r="L53" s="492"/>
      <c r="M53" s="492"/>
      <c r="N53" s="492"/>
      <c r="O53" s="492"/>
    </row>
    <row r="54" spans="4:15">
      <c r="D54" s="492"/>
      <c r="E54" s="492"/>
      <c r="F54" s="492"/>
      <c r="G54" s="492"/>
      <c r="H54" s="492"/>
      <c r="I54" s="492"/>
      <c r="J54" s="492"/>
      <c r="K54" s="492"/>
      <c r="L54" s="492"/>
      <c r="M54" s="492"/>
      <c r="N54" s="492"/>
      <c r="O54" s="492"/>
    </row>
    <row r="55" spans="4:15">
      <c r="D55" s="492"/>
      <c r="E55" s="492"/>
      <c r="F55" s="492"/>
      <c r="G55" s="492"/>
      <c r="H55" s="492"/>
      <c r="I55" s="492"/>
      <c r="J55" s="492"/>
      <c r="K55" s="492"/>
      <c r="L55" s="492"/>
      <c r="M55" s="492"/>
      <c r="N55" s="492"/>
      <c r="O55" s="492"/>
    </row>
    <row r="56" spans="4:15">
      <c r="D56" s="492"/>
      <c r="E56" s="492"/>
      <c r="F56" s="492"/>
      <c r="G56" s="492"/>
      <c r="H56" s="492"/>
      <c r="I56" s="492"/>
      <c r="J56" s="492"/>
      <c r="K56" s="492"/>
      <c r="L56" s="492"/>
      <c r="M56" s="492"/>
      <c r="N56" s="492"/>
      <c r="O56" s="492"/>
    </row>
    <row r="57" spans="4:15">
      <c r="D57" s="492"/>
      <c r="E57" s="492"/>
      <c r="F57" s="492"/>
      <c r="G57" s="492"/>
      <c r="H57" s="492"/>
      <c r="I57" s="492"/>
      <c r="J57" s="492"/>
      <c r="K57" s="492"/>
      <c r="L57" s="492"/>
      <c r="O57" s="492"/>
    </row>
    <row r="58" spans="4:15">
      <c r="D58" s="492"/>
      <c r="E58" s="492"/>
      <c r="F58" s="492"/>
      <c r="G58" s="492"/>
      <c r="H58" s="492"/>
      <c r="I58" s="492"/>
      <c r="J58" s="492"/>
      <c r="K58" s="492"/>
      <c r="L58" s="492"/>
      <c r="O58" s="492"/>
    </row>
    <row r="59" spans="4:15">
      <c r="D59" s="492"/>
      <c r="E59" s="492"/>
      <c r="F59" s="492"/>
      <c r="G59" s="492"/>
      <c r="H59" s="492"/>
      <c r="I59" s="492"/>
      <c r="J59" s="492"/>
      <c r="K59" s="492"/>
      <c r="L59" s="492"/>
      <c r="O59" s="492"/>
    </row>
    <row r="60" spans="4:15">
      <c r="D60" s="492"/>
      <c r="E60" s="492"/>
      <c r="F60" s="492"/>
      <c r="G60" s="492"/>
      <c r="H60" s="492"/>
      <c r="I60" s="492"/>
      <c r="J60" s="492"/>
      <c r="K60" s="492"/>
      <c r="L60" s="492"/>
      <c r="O60" s="492"/>
    </row>
    <row r="61" spans="4:15">
      <c r="D61" s="492"/>
      <c r="E61" s="492"/>
      <c r="F61" s="492"/>
      <c r="G61" s="492"/>
      <c r="H61" s="492"/>
      <c r="I61" s="492"/>
      <c r="J61" s="492"/>
      <c r="K61" s="492"/>
      <c r="L61" s="492"/>
    </row>
    <row r="62" spans="4:15">
      <c r="D62" s="492"/>
      <c r="E62" s="492"/>
    </row>
    <row r="63" spans="4:15">
      <c r="D63" s="492"/>
    </row>
  </sheetData>
  <mergeCells count="6">
    <mergeCell ref="B1:P1"/>
    <mergeCell ref="B7:P7"/>
    <mergeCell ref="B14:P14"/>
    <mergeCell ref="M18:N18"/>
    <mergeCell ref="F18:G18"/>
    <mergeCell ref="B16:N17"/>
  </mergeCells>
  <hyperlinks>
    <hyperlink ref="B6" r:id="rId1" display="Installing the Analysis ToolPak" xr:uid="{976F8676-B59F-4C41-BACD-299D0A3725D0}"/>
    <hyperlink ref="I27" location="Regression!A1" display="Simple regression" xr:uid="{78B7807E-6560-4D65-A107-EA41608F13E2}"/>
    <hyperlink ref="I26" location="Correlation!A1" display="Correlation" xr:uid="{4BE2D474-F60B-4A4A-9569-143487F4E307}"/>
    <hyperlink ref="B27" location="'A3'!A1" display="Project Report (A3 / A3 thinking)" xr:uid="{30B20673-E9A0-41E8-B035-ED3803CFE517}"/>
    <hyperlink ref="B19" location="Charter!A1" display="Charter" xr:uid="{0471D565-27B1-4E01-B16C-0ADD3DF6D2D0}"/>
    <hyperlink ref="D19" location="SIPOC!A1" display="SIPOC" xr:uid="{A6A7BF0B-9D6F-4C96-874D-04FFD7EE3A9E}"/>
    <hyperlink ref="D20" location="'CTQ tree'!A1" display="CTQ tree" xr:uid="{FE0A9E51-3C18-44CB-B348-C1B9A7874997}"/>
    <hyperlink ref="B20" location="RACI!A1" display="RACI" xr:uid="{A4143CE6-ECC1-4F90-9CAA-FB9C11D169CF}"/>
    <hyperlink ref="B21" location="Governance!A1" display="Governance" xr:uid="{7D60FE3E-75F2-49DD-B414-634A26851F57}"/>
    <hyperlink ref="B23" location="Communication!A1" display="Communication Plan" xr:uid="{AA46CD1C-CADA-4650-A2D5-C08866AF61C0}"/>
    <hyperlink ref="B22" location="'Stekeholder plan'!A1" display="Stakeholder" xr:uid="{13DFE4AA-6C27-4215-8FBE-68C4BAD63C7B}"/>
    <hyperlink ref="B24" location="Risk!A1" display="Risk Plan" xr:uid="{C5DBE947-DE6A-43E3-86E5-CE3B87A92D24}"/>
    <hyperlink ref="B25" location="Plan!A1" display="Project Plan" xr:uid="{DB5C2513-E630-46C6-B4ED-955E6D663F16}"/>
    <hyperlink ref="B26" location="Benefits!A1" display="Benefits / Business case" xr:uid="{521B8BE3-BBEA-49E0-B183-644A5EE59001}"/>
    <hyperlink ref="F19" location="'Cause &amp; Effect'!A1" display="Cause &amp; Effect (diagram &amp; matrix)" xr:uid="{35BB4D5B-260C-4D3B-9C2B-67DF97F3D64E}"/>
    <hyperlink ref="F20" location="'Process Walkthrough'!A1" display="Process walkthrough" xr:uid="{D696BE68-8030-43D8-9AE6-9F97D76C70AE}"/>
    <hyperlink ref="F22" location="'5S audit'!A1" display="5S audit worksheet" xr:uid="{28BB9AC8-F89F-4243-A24D-4F8FB569ED43}"/>
    <hyperlink ref="F23" location="'Data Collection'!A1" display="Data collection plan" xr:uid="{628B84F0-D1D6-4F8D-97D1-782E386941A6}"/>
    <hyperlink ref="F24" location="'Basic Sample Size'!A1" display="Basic Sample size calculator" xr:uid="{2487A56C-BF7E-4BB1-87AC-40A775F41F2A}"/>
    <hyperlink ref="F25" location="'Continuous GRR'!A1" display="Continuous GRR" xr:uid="{2104FBA4-1AFD-4F9A-BDAB-AC9A8E363D2E}"/>
    <hyperlink ref="F26" location="'Graphical Summary'!A1" display="Graphical summary" xr:uid="{591A169F-82F6-4D12-B5B0-B791F6DC71B0}"/>
    <hyperlink ref="F27" location="'AD Normality Test'!A1" display="AD Normality test" xr:uid="{8F912434-FC30-49CD-B439-F890811D81D5}"/>
    <hyperlink ref="F28" location="'Box Plots'!A1" display="Box plots" xr:uid="{E8239927-82DC-4AFC-8BB5-391F74CC7115}"/>
    <hyperlink ref="F29" location="Pareto!A1" display="Pareto Chart" xr:uid="{95509E16-CEF9-455F-8B62-0CAD8C554C5E}"/>
    <hyperlink ref="G31" location="'I mR chart'!A1" display="I &amp; mR chart" xr:uid="{D3F3B42E-A9ED-476E-88C2-3785AD87A0B3}"/>
    <hyperlink ref="G32" location="'P chart'!A1" display="P chart" xr:uid="{89AC52C2-B7B4-4AD2-B205-204F75D989EE}"/>
    <hyperlink ref="G33" location="'np chart'!A1" display="np Chart" xr:uid="{0C52BAC1-F2E8-491F-A57D-D5A5D5D4F5E1}"/>
    <hyperlink ref="F30" location="'Control chart selection'!A1" display="Selecting a control chart" xr:uid="{75F325F2-94A8-4211-9755-FB71D1240FAF}"/>
    <hyperlink ref="G34" location="'U chart'!A1" display="U chart" xr:uid="{115C8660-E8C8-4C11-AB86-DDFC8B50A19B}"/>
    <hyperlink ref="G35" location="'C chart'!A1" display="C chart" xr:uid="{6B06B5D8-77B5-4A47-909B-52F3DA39C20F}"/>
    <hyperlink ref="G36" location="'XBAR INPUT DATA'!A1" display="Xbar input data worksheet" xr:uid="{C83D71F1-94F8-4EAF-A703-1961520AE6DD}"/>
    <hyperlink ref="G37" location="'Xbar mR chart'!A1" display="Xbar &amp; mR chart" xr:uid="{44317C3F-D724-4146-A29A-57E71FF3D096}"/>
    <hyperlink ref="F38" location="'Discrete Process capability'!A1" display="Discrete process capability calculator" xr:uid="{9D053DA3-4E97-441E-95F8-ED7FBA40C6E3}"/>
    <hyperlink ref="F39" location="'Process Capability Scorecard'!A1" display="Process capability / Performance scorecard" xr:uid="{10493860-04F9-469C-8949-17B5A0FAA201}"/>
    <hyperlink ref="I19" location="'Hypothesis Testing'!A1" display="Hypothesis Testing" xr:uid="{8275C4FF-D636-44ED-9243-E681C9268368}"/>
    <hyperlink ref="I22" location="ChiSquare!A1" display="Chi Quare" xr:uid="{050B6C96-B433-4DAC-8313-1805A0D85B3B}"/>
    <hyperlink ref="I23" location="'F Test'!A1" display="F test" xr:uid="{FDE84228-2991-42CF-95F3-8CEDE57BA2CC}"/>
    <hyperlink ref="I24" location="'Moods Median'!A1" display="Moods Median" xr:uid="{37CE1AA1-2745-4C97-84F4-620197978902}"/>
    <hyperlink ref="I25" location="'2 sample t test'!A1" display="2-sample t-test" xr:uid="{A9ADDAA8-BBEE-4CDD-9A5A-48FA0AA796DA}"/>
    <hyperlink ref="I28" location="'CI Calc'!A1" display="CI Calc" xr:uid="{48F8C3A4-AB75-408C-BBEB-CF3DCF4980D4}"/>
    <hyperlink ref="K19" location="'Affinity diagram'!A1" display="Affinity Diagram" xr:uid="{ADCFB842-E206-44A0-8612-E9B9D9D1A0B1}"/>
    <hyperlink ref="K20" location="'Force Field Analysis'!A1" display="Force field analysis" xr:uid="{A620181F-DD49-48A8-B22B-60C0E570D68A}"/>
    <hyperlink ref="K21" location="'Pick Chart'!A1" display="Pick chart" xr:uid="{35319FF7-DF1D-4632-9DA0-4D966700FD44}"/>
    <hyperlink ref="K22" location="'Prioritisation matrix'!A1" display="Prioritisation matrix" xr:uid="{42254E0B-993E-4955-9722-05C9A60EEFBF}"/>
    <hyperlink ref="K23" location="Pugh!A1" display="Pugh Matrix" xr:uid="{CBFFDC8E-4343-426A-BE05-31A4283F041C}"/>
    <hyperlink ref="K24" location="FMEA!A1" display="FMEA" xr:uid="{2E71871C-4A25-4DBB-B7D3-BAB1CF2813B9}"/>
    <hyperlink ref="M19" location="'Control Plan'!A1" display="Control plan" xr:uid="{11BE7D73-AFAF-4249-A099-AA4AED8BA5D0}"/>
  </hyperlinks>
  <pageMargins left="0.70866141732283472" right="0.70866141732283472" top="0.74803149606299213" bottom="0.74803149606299213" header="0.31496062992125984" footer="0.31496062992125984"/>
  <pageSetup paperSize="9" scale="74" fitToHeight="20" orientation="landscape" horizontalDpi="0" verticalDpi="0" r:id="rId2"/>
  <rowBreaks count="1" manualBreakCount="1">
    <brk id="15" max="16383" man="1"/>
  </rowBreaks>
  <customProperties>
    <customPr name="ORB_SHEETNAME" r:id="rId3"/>
  </customProperties>
  <legacy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C11B6-8672-4E96-8D19-B8994AC1B467}">
  <sheetPr>
    <pageSetUpPr fitToPage="1"/>
  </sheetPr>
  <dimension ref="A1:J33"/>
  <sheetViews>
    <sheetView zoomScale="60" zoomScaleNormal="60" workbookViewId="0">
      <selection activeCell="B1" sqref="B1"/>
    </sheetView>
  </sheetViews>
  <sheetFormatPr defaultRowHeight="18.75"/>
  <cols>
    <col min="1" max="1" width="5.140625" style="618" bestFit="1" customWidth="1"/>
    <col min="2" max="2" width="28.5703125" style="614" customWidth="1"/>
    <col min="3" max="3" width="3.28515625" style="614" customWidth="1"/>
    <col min="4" max="4" width="36.5703125" style="614" customWidth="1"/>
    <col min="5" max="5" width="3.28515625" style="614" customWidth="1"/>
    <col min="6" max="6" width="35.5703125" style="614" customWidth="1"/>
    <col min="7" max="7" width="3.28515625" style="614" customWidth="1"/>
    <col min="8" max="8" width="26.85546875" style="614" customWidth="1"/>
    <col min="9" max="9" width="3.28515625" style="614" customWidth="1"/>
    <col min="10" max="10" width="25.7109375" style="614" customWidth="1"/>
    <col min="11" max="16384" width="9.140625" style="613"/>
  </cols>
  <sheetData>
    <row r="1" spans="1:10" s="615" customFormat="1" ht="21">
      <c r="A1" s="617"/>
      <c r="B1" s="616" t="s">
        <v>19</v>
      </c>
      <c r="C1" s="620"/>
      <c r="D1" s="616" t="s">
        <v>20</v>
      </c>
      <c r="E1" s="620"/>
      <c r="F1" s="616" t="s">
        <v>21</v>
      </c>
      <c r="G1" s="620"/>
      <c r="H1" s="616" t="s">
        <v>22</v>
      </c>
      <c r="I1" s="620"/>
      <c r="J1" s="616" t="s">
        <v>23</v>
      </c>
    </row>
    <row r="2" spans="1:10" ht="45">
      <c r="A2" s="1199" t="s">
        <v>71</v>
      </c>
      <c r="B2" s="621" t="s">
        <v>72</v>
      </c>
      <c r="C2" s="622"/>
      <c r="D2" s="622" t="s">
        <v>73</v>
      </c>
      <c r="E2" s="622"/>
      <c r="F2" s="622" t="s">
        <v>74</v>
      </c>
      <c r="G2" s="622"/>
      <c r="H2" s="622" t="s">
        <v>75</v>
      </c>
      <c r="I2" s="622"/>
      <c r="J2" s="623" t="s">
        <v>76</v>
      </c>
    </row>
    <row r="3" spans="1:10" ht="30">
      <c r="A3" s="1199"/>
      <c r="B3" s="624" t="s">
        <v>77</v>
      </c>
      <c r="D3" s="614" t="s">
        <v>78</v>
      </c>
      <c r="F3" s="614" t="s">
        <v>79</v>
      </c>
      <c r="H3" s="614" t="s">
        <v>80</v>
      </c>
      <c r="J3" s="625" t="s">
        <v>81</v>
      </c>
    </row>
    <row r="4" spans="1:10" ht="30">
      <c r="A4" s="1199"/>
      <c r="B4" s="624" t="s">
        <v>82</v>
      </c>
      <c r="D4" s="614" t="s">
        <v>83</v>
      </c>
      <c r="F4" s="614" t="s">
        <v>84</v>
      </c>
      <c r="H4" s="614" t="s">
        <v>85</v>
      </c>
      <c r="J4" s="625" t="s">
        <v>86</v>
      </c>
    </row>
    <row r="5" spans="1:10" ht="30">
      <c r="A5" s="1199"/>
      <c r="B5" s="626" t="s">
        <v>87</v>
      </c>
      <c r="C5" s="627"/>
      <c r="D5" s="627" t="s">
        <v>88</v>
      </c>
      <c r="E5" s="627"/>
      <c r="F5" s="627"/>
      <c r="G5" s="627"/>
      <c r="H5" s="627"/>
      <c r="I5" s="627"/>
      <c r="J5" s="628"/>
    </row>
    <row r="7" spans="1:10" ht="45" customHeight="1">
      <c r="A7" s="1199" t="s">
        <v>89</v>
      </c>
      <c r="B7" s="629" t="s">
        <v>90</v>
      </c>
      <c r="C7" s="622"/>
      <c r="D7" s="622" t="s">
        <v>91</v>
      </c>
      <c r="E7" s="622"/>
      <c r="F7" s="1200" t="s">
        <v>92</v>
      </c>
      <c r="G7" s="622"/>
      <c r="H7" s="622" t="s">
        <v>93</v>
      </c>
      <c r="I7" s="622"/>
      <c r="J7" s="623" t="s">
        <v>94</v>
      </c>
    </row>
    <row r="8" spans="1:10" ht="15">
      <c r="A8" s="1199"/>
      <c r="B8" s="630" t="s">
        <v>95</v>
      </c>
      <c r="D8" s="614" t="s">
        <v>96</v>
      </c>
      <c r="F8" s="1194"/>
      <c r="H8" s="614" t="s">
        <v>37</v>
      </c>
      <c r="J8" s="625" t="s">
        <v>97</v>
      </c>
    </row>
    <row r="9" spans="1:10" ht="60">
      <c r="A9" s="1199"/>
      <c r="B9" s="630" t="s">
        <v>98</v>
      </c>
      <c r="D9" s="614" t="s">
        <v>99</v>
      </c>
      <c r="F9" s="614" t="s">
        <v>100</v>
      </c>
      <c r="H9" s="614" t="s">
        <v>101</v>
      </c>
      <c r="J9" s="625" t="s">
        <v>102</v>
      </c>
    </row>
    <row r="10" spans="1:10" ht="15">
      <c r="A10" s="1199"/>
      <c r="B10" s="630" t="s">
        <v>103</v>
      </c>
      <c r="D10" s="614" t="s">
        <v>104</v>
      </c>
      <c r="H10" s="614" t="s">
        <v>105</v>
      </c>
      <c r="J10" s="625" t="s">
        <v>106</v>
      </c>
    </row>
    <row r="11" spans="1:10" ht="15">
      <c r="A11" s="1199"/>
      <c r="B11" s="630" t="s">
        <v>107</v>
      </c>
      <c r="D11" s="614" t="s">
        <v>108</v>
      </c>
      <c r="E11" s="991"/>
      <c r="J11" s="625" t="s">
        <v>109</v>
      </c>
    </row>
    <row r="12" spans="1:10" ht="15">
      <c r="A12" s="1199"/>
      <c r="B12" s="630" t="s">
        <v>110</v>
      </c>
      <c r="D12" s="614" t="s">
        <v>111</v>
      </c>
      <c r="J12" s="625"/>
    </row>
    <row r="13" spans="1:10" ht="18.75" customHeight="1">
      <c r="A13" s="1199"/>
      <c r="B13" s="631" t="s">
        <v>112</v>
      </c>
      <c r="C13" s="627"/>
      <c r="D13" s="627"/>
      <c r="E13" s="627"/>
      <c r="F13" s="627"/>
      <c r="G13" s="627"/>
      <c r="H13" s="627"/>
      <c r="I13" s="627"/>
      <c r="J13" s="628"/>
    </row>
    <row r="14" spans="1:10">
      <c r="A14" s="619"/>
      <c r="B14" s="10"/>
    </row>
    <row r="15" spans="1:10" ht="30">
      <c r="A15" s="1199" t="s">
        <v>113</v>
      </c>
      <c r="B15" s="621" t="s">
        <v>90</v>
      </c>
      <c r="C15" s="622"/>
      <c r="D15" s="622" t="s">
        <v>114</v>
      </c>
      <c r="E15" s="622"/>
      <c r="F15" s="622" t="s">
        <v>115</v>
      </c>
      <c r="G15" s="622"/>
      <c r="H15" s="622" t="s">
        <v>116</v>
      </c>
      <c r="I15" s="622"/>
      <c r="J15" s="623" t="s">
        <v>117</v>
      </c>
    </row>
    <row r="16" spans="1:10" ht="30">
      <c r="A16" s="1199"/>
      <c r="B16" s="624" t="s">
        <v>25</v>
      </c>
      <c r="D16" s="614" t="s">
        <v>118</v>
      </c>
      <c r="F16" s="614" t="s">
        <v>119</v>
      </c>
      <c r="H16" s="614" t="s">
        <v>120</v>
      </c>
      <c r="J16" s="625" t="s">
        <v>121</v>
      </c>
    </row>
    <row r="17" spans="1:10" ht="15">
      <c r="A17" s="1199"/>
      <c r="B17" s="624" t="s">
        <v>122</v>
      </c>
      <c r="D17" s="614" t="s">
        <v>123</v>
      </c>
      <c r="F17" s="614" t="s">
        <v>124</v>
      </c>
      <c r="H17" s="614" t="s">
        <v>125</v>
      </c>
      <c r="J17" s="625" t="s">
        <v>126</v>
      </c>
    </row>
    <row r="18" spans="1:10" ht="30">
      <c r="A18" s="1199"/>
      <c r="B18" s="624" t="s">
        <v>31</v>
      </c>
      <c r="D18" s="614" t="s">
        <v>37</v>
      </c>
      <c r="F18" s="614" t="s">
        <v>127</v>
      </c>
      <c r="H18" s="614" t="s">
        <v>114</v>
      </c>
      <c r="J18" s="625" t="s">
        <v>128</v>
      </c>
    </row>
    <row r="19" spans="1:10" ht="45">
      <c r="A19" s="1199"/>
      <c r="B19" s="624" t="s">
        <v>129</v>
      </c>
      <c r="D19" s="614" t="s">
        <v>130</v>
      </c>
      <c r="F19" s="614" t="s">
        <v>131</v>
      </c>
      <c r="H19" s="614" t="s">
        <v>37</v>
      </c>
      <c r="J19" s="625" t="s">
        <v>94</v>
      </c>
    </row>
    <row r="20" spans="1:10" ht="30">
      <c r="A20" s="1199"/>
      <c r="B20" s="624" t="s">
        <v>132</v>
      </c>
      <c r="D20" s="614" t="s">
        <v>47</v>
      </c>
      <c r="H20" s="614" t="s">
        <v>133</v>
      </c>
      <c r="J20" s="625" t="s">
        <v>106</v>
      </c>
    </row>
    <row r="21" spans="1:10" ht="15">
      <c r="A21" s="1199"/>
      <c r="B21" s="624" t="s">
        <v>112</v>
      </c>
      <c r="D21" s="614" t="s">
        <v>134</v>
      </c>
      <c r="H21" s="614" t="s">
        <v>135</v>
      </c>
      <c r="J21" s="625" t="s">
        <v>109</v>
      </c>
    </row>
    <row r="22" spans="1:10" ht="15">
      <c r="A22" s="1199"/>
      <c r="B22" s="624" t="s">
        <v>136</v>
      </c>
      <c r="D22" s="614" t="s">
        <v>137</v>
      </c>
      <c r="H22" s="614" t="s">
        <v>138</v>
      </c>
      <c r="J22" s="625"/>
    </row>
    <row r="23" spans="1:10" ht="15">
      <c r="A23" s="1199"/>
      <c r="B23" s="624" t="s">
        <v>110</v>
      </c>
      <c r="D23" s="614" t="s">
        <v>139</v>
      </c>
      <c r="H23" s="614" t="s">
        <v>140</v>
      </c>
      <c r="J23" s="625"/>
    </row>
    <row r="24" spans="1:10" ht="15">
      <c r="A24" s="1199"/>
      <c r="B24" s="626"/>
      <c r="C24" s="627"/>
      <c r="D24" s="627" t="s">
        <v>141</v>
      </c>
      <c r="E24" s="627"/>
      <c r="F24" s="627"/>
      <c r="G24" s="627"/>
      <c r="H24" s="627" t="s">
        <v>142</v>
      </c>
      <c r="I24" s="627"/>
      <c r="J24" s="628"/>
    </row>
    <row r="27" spans="1:10">
      <c r="D27" s="10"/>
    </row>
    <row r="28" spans="1:10">
      <c r="D28" s="10"/>
    </row>
    <row r="29" spans="1:10">
      <c r="D29" s="10"/>
    </row>
    <row r="30" spans="1:10">
      <c r="D30" s="10"/>
    </row>
    <row r="31" spans="1:10">
      <c r="D31" s="10"/>
    </row>
    <row r="32" spans="1:10">
      <c r="D32" s="10"/>
    </row>
    <row r="33" spans="4:4">
      <c r="D33" s="10"/>
    </row>
  </sheetData>
  <mergeCells count="4">
    <mergeCell ref="A2:A5"/>
    <mergeCell ref="A7:A13"/>
    <mergeCell ref="A15:A24"/>
    <mergeCell ref="F7:F8"/>
  </mergeCells>
  <pageMargins left="0.70866141732283472" right="0.70866141732283472" top="0.74803149606299213" bottom="0.74803149606299213" header="0.31496062992125984" footer="0.31496062992125984"/>
  <pageSetup paperSize="9" scale="76" fitToHeight="20" orientation="landscape"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07F7D-8696-4DBA-BD8D-8725D34BF967}">
  <sheetPr>
    <pageSetUpPr fitToPage="1"/>
  </sheetPr>
  <dimension ref="A1:J33"/>
  <sheetViews>
    <sheetView zoomScale="90" zoomScaleNormal="90" workbookViewId="0">
      <selection activeCell="D37" sqref="D37"/>
    </sheetView>
  </sheetViews>
  <sheetFormatPr defaultRowHeight="15"/>
  <cols>
    <col min="1" max="1" width="19.28515625" style="9" bestFit="1" customWidth="1"/>
    <col min="2" max="2" width="18.140625" style="9" customWidth="1"/>
    <col min="3" max="3" width="16.28515625" style="9" bestFit="1" customWidth="1"/>
    <col min="4" max="4" width="20.5703125" style="9" customWidth="1"/>
    <col min="5" max="5" width="21.7109375" style="9" customWidth="1"/>
    <col min="6" max="6" width="23.140625" style="9" customWidth="1"/>
    <col min="7" max="7" width="23" style="9" customWidth="1"/>
    <col min="8" max="8" width="7" style="9" bestFit="1" customWidth="1"/>
    <col min="9" max="9" width="23.42578125" style="9" customWidth="1"/>
    <col min="10" max="16384" width="9.140625" style="9"/>
  </cols>
  <sheetData>
    <row r="1" spans="1:10" s="635" customFormat="1">
      <c r="A1" s="1232" t="s">
        <v>143</v>
      </c>
      <c r="B1" s="1233"/>
      <c r="C1" s="1234"/>
      <c r="D1" s="913" t="s">
        <v>144</v>
      </c>
      <c r="E1" s="913" t="s">
        <v>145</v>
      </c>
      <c r="F1" s="913" t="s">
        <v>146</v>
      </c>
      <c r="G1" s="1230" t="s">
        <v>147</v>
      </c>
      <c r="H1" s="1230"/>
      <c r="I1" s="1230" t="s">
        <v>148</v>
      </c>
      <c r="J1" s="1231"/>
    </row>
    <row r="2" spans="1:10">
      <c r="A2" s="1235" t="s">
        <v>143</v>
      </c>
      <c r="B2" s="1236"/>
      <c r="C2" s="1237"/>
      <c r="D2" s="908" t="s">
        <v>149</v>
      </c>
      <c r="E2" s="910" t="s">
        <v>150</v>
      </c>
      <c r="F2" s="910" t="s">
        <v>150</v>
      </c>
      <c r="G2" s="1222" t="s">
        <v>151</v>
      </c>
      <c r="H2" s="1222"/>
      <c r="I2" s="1222" t="s">
        <v>152</v>
      </c>
      <c r="J2" s="1223"/>
    </row>
    <row r="3" spans="1:10" s="907" customFormat="1">
      <c r="A3" s="1240" t="s">
        <v>153</v>
      </c>
      <c r="B3" s="1201"/>
      <c r="C3" s="1201" t="s">
        <v>154</v>
      </c>
      <c r="D3" s="1201"/>
      <c r="E3" s="1201" t="s">
        <v>155</v>
      </c>
      <c r="F3" s="1201"/>
      <c r="G3" s="1202" t="s">
        <v>156</v>
      </c>
      <c r="H3" s="1203"/>
      <c r="I3" s="1203"/>
      <c r="J3" s="1204"/>
    </row>
    <row r="4" spans="1:10">
      <c r="A4" s="1209"/>
      <c r="B4" s="1210"/>
      <c r="C4" s="1210"/>
      <c r="D4" s="1210"/>
      <c r="E4" s="1213"/>
      <c r="F4" s="1214"/>
      <c r="G4" s="909" t="s">
        <v>157</v>
      </c>
      <c r="H4" s="908"/>
      <c r="I4" s="908" t="s">
        <v>158</v>
      </c>
      <c r="J4" s="914"/>
    </row>
    <row r="5" spans="1:10">
      <c r="A5" s="1211"/>
      <c r="B5" s="1212"/>
      <c r="C5" s="1212"/>
      <c r="D5" s="1212"/>
      <c r="E5" s="1215"/>
      <c r="F5" s="1216"/>
      <c r="G5" s="909" t="s">
        <v>159</v>
      </c>
      <c r="H5" s="908"/>
      <c r="I5" s="908" t="s">
        <v>160</v>
      </c>
      <c r="J5" s="914"/>
    </row>
    <row r="6" spans="1:10">
      <c r="A6" s="1211"/>
      <c r="B6" s="1212"/>
      <c r="C6" s="1212"/>
      <c r="D6" s="1212"/>
      <c r="E6" s="1215"/>
      <c r="F6" s="1216"/>
      <c r="G6" s="909" t="s">
        <v>161</v>
      </c>
      <c r="H6" s="908"/>
      <c r="I6" s="908" t="s">
        <v>162</v>
      </c>
      <c r="J6" s="914"/>
    </row>
    <row r="7" spans="1:10">
      <c r="A7" s="1211"/>
      <c r="B7" s="1212"/>
      <c r="C7" s="1212"/>
      <c r="D7" s="1212"/>
      <c r="E7" s="1215"/>
      <c r="F7" s="1216"/>
      <c r="G7" s="909" t="s">
        <v>163</v>
      </c>
      <c r="H7" s="908"/>
      <c r="I7" s="908" t="s">
        <v>164</v>
      </c>
      <c r="J7" s="914"/>
    </row>
    <row r="8" spans="1:10">
      <c r="A8" s="1211"/>
      <c r="B8" s="1212"/>
      <c r="C8" s="1212"/>
      <c r="D8" s="1212"/>
      <c r="E8" s="1215"/>
      <c r="F8" s="1216"/>
      <c r="G8" s="1220" t="s">
        <v>165</v>
      </c>
      <c r="H8" s="1201"/>
      <c r="I8" s="1201"/>
      <c r="J8" s="1221"/>
    </row>
    <row r="9" spans="1:10">
      <c r="A9" s="1211"/>
      <c r="B9" s="1212"/>
      <c r="C9" s="1212"/>
      <c r="D9" s="1212"/>
      <c r="E9" s="1215"/>
      <c r="F9" s="1216"/>
      <c r="G9" s="909" t="s">
        <v>166</v>
      </c>
      <c r="H9" s="1222"/>
      <c r="I9" s="1222"/>
      <c r="J9" s="1223"/>
    </row>
    <row r="10" spans="1:10">
      <c r="A10" s="1211"/>
      <c r="B10" s="1212"/>
      <c r="C10" s="1212"/>
      <c r="D10" s="1212"/>
      <c r="E10" s="1215"/>
      <c r="F10" s="1216"/>
      <c r="G10" s="909" t="s">
        <v>167</v>
      </c>
      <c r="H10" s="1222"/>
      <c r="I10" s="1222"/>
      <c r="J10" s="1223"/>
    </row>
    <row r="11" spans="1:10">
      <c r="A11" s="1211"/>
      <c r="B11" s="1212"/>
      <c r="C11" s="1212"/>
      <c r="D11" s="1212"/>
      <c r="E11" s="1217"/>
      <c r="F11" s="1216"/>
      <c r="G11" s="909" t="s">
        <v>168</v>
      </c>
      <c r="H11" s="1222"/>
      <c r="I11" s="1222"/>
      <c r="J11" s="1223"/>
    </row>
    <row r="12" spans="1:10">
      <c r="A12" s="1211"/>
      <c r="B12" s="1212"/>
      <c r="C12" s="1212"/>
      <c r="D12" s="1212"/>
      <c r="E12" s="1218"/>
      <c r="F12" s="1219"/>
      <c r="G12" s="909" t="s">
        <v>169</v>
      </c>
      <c r="H12" s="1222"/>
      <c r="I12" s="1222"/>
      <c r="J12" s="1223"/>
    </row>
    <row r="13" spans="1:10" s="907" customFormat="1">
      <c r="A13" s="1205" t="s">
        <v>170</v>
      </c>
      <c r="B13" s="1206"/>
      <c r="C13" s="1206"/>
      <c r="D13" s="1206"/>
      <c r="E13" s="1206"/>
      <c r="F13" s="1206" t="s">
        <v>171</v>
      </c>
      <c r="G13" s="1207"/>
      <c r="H13" s="1207"/>
      <c r="I13" s="1207"/>
      <c r="J13" s="1208"/>
    </row>
    <row r="14" spans="1:10">
      <c r="A14" s="915" t="s">
        <v>172</v>
      </c>
      <c r="B14" s="911" t="s">
        <v>173</v>
      </c>
      <c r="C14" s="911" t="s">
        <v>174</v>
      </c>
      <c r="D14" s="911" t="s">
        <v>175</v>
      </c>
      <c r="E14" s="911" t="s">
        <v>176</v>
      </c>
      <c r="F14" s="1215"/>
      <c r="G14" s="1212"/>
      <c r="H14" s="1212"/>
      <c r="I14" s="1212"/>
      <c r="J14" s="1238"/>
    </row>
    <row r="15" spans="1:10" ht="30" customHeight="1">
      <c r="A15" s="916"/>
      <c r="B15" s="908"/>
      <c r="C15" s="908"/>
      <c r="D15" s="908"/>
      <c r="E15" s="908"/>
      <c r="F15" s="1215"/>
      <c r="G15" s="1212"/>
      <c r="H15" s="1212"/>
      <c r="I15" s="1212"/>
      <c r="J15" s="1238"/>
    </row>
    <row r="16" spans="1:10" ht="30" customHeight="1">
      <c r="A16" s="916"/>
      <c r="B16" s="908"/>
      <c r="C16" s="908"/>
      <c r="D16" s="908"/>
      <c r="E16" s="908"/>
      <c r="F16" s="1215"/>
      <c r="G16" s="1212"/>
      <c r="H16" s="1212"/>
      <c r="I16" s="1212"/>
      <c r="J16" s="1238"/>
    </row>
    <row r="17" spans="1:10" ht="30" customHeight="1">
      <c r="A17" s="916"/>
      <c r="B17" s="908"/>
      <c r="C17" s="908"/>
      <c r="D17" s="908"/>
      <c r="E17" s="908"/>
      <c r="F17" s="1215"/>
      <c r="G17" s="1212"/>
      <c r="H17" s="1212"/>
      <c r="I17" s="1212"/>
      <c r="J17" s="1238"/>
    </row>
    <row r="18" spans="1:10" ht="30" customHeight="1">
      <c r="A18" s="916"/>
      <c r="B18" s="908"/>
      <c r="C18" s="908"/>
      <c r="D18" s="908"/>
      <c r="E18" s="908"/>
      <c r="F18" s="1215"/>
      <c r="G18" s="1212"/>
      <c r="H18" s="1212"/>
      <c r="I18" s="1212"/>
      <c r="J18" s="1238"/>
    </row>
    <row r="19" spans="1:10" ht="30" customHeight="1">
      <c r="A19" s="916"/>
      <c r="B19" s="908"/>
      <c r="C19" s="908"/>
      <c r="D19" s="908"/>
      <c r="E19" s="908"/>
      <c r="F19" s="1215"/>
      <c r="G19" s="1212"/>
      <c r="H19" s="1212"/>
      <c r="I19" s="1212"/>
      <c r="J19" s="1238"/>
    </row>
    <row r="20" spans="1:10">
      <c r="A20" s="1239" t="s">
        <v>177</v>
      </c>
      <c r="B20" s="1203"/>
      <c r="C20" s="1203"/>
      <c r="D20" s="1203"/>
      <c r="E20" s="1220"/>
      <c r="F20" s="1201" t="s">
        <v>178</v>
      </c>
      <c r="G20" s="1201"/>
      <c r="H20" s="1201"/>
      <c r="I20" s="1201"/>
      <c r="J20" s="1221"/>
    </row>
    <row r="21" spans="1:10">
      <c r="A21" s="1224"/>
      <c r="B21" s="1225"/>
      <c r="C21" s="1225"/>
      <c r="D21" s="1225"/>
      <c r="E21" s="1225"/>
      <c r="F21" s="912" t="s">
        <v>179</v>
      </c>
      <c r="G21" s="912" t="s">
        <v>180</v>
      </c>
      <c r="H21" s="912" t="s">
        <v>181</v>
      </c>
      <c r="I21" s="912" t="s">
        <v>182</v>
      </c>
      <c r="J21" s="917" t="s">
        <v>183</v>
      </c>
    </row>
    <row r="22" spans="1:10" ht="30" customHeight="1">
      <c r="A22" s="1224"/>
      <c r="B22" s="1225"/>
      <c r="C22" s="1225"/>
      <c r="D22" s="1225"/>
      <c r="E22" s="1225"/>
      <c r="F22" s="908"/>
      <c r="G22" s="908"/>
      <c r="H22" s="908"/>
      <c r="I22" s="908"/>
      <c r="J22" s="918" t="s">
        <v>184</v>
      </c>
    </row>
    <row r="23" spans="1:10" ht="30" customHeight="1">
      <c r="A23" s="1224"/>
      <c r="B23" s="1225"/>
      <c r="C23" s="1225"/>
      <c r="D23" s="1225"/>
      <c r="E23" s="1225"/>
      <c r="F23" s="908"/>
      <c r="G23" s="908"/>
      <c r="H23" s="908"/>
      <c r="I23" s="908"/>
      <c r="J23" s="919" t="s">
        <v>185</v>
      </c>
    </row>
    <row r="24" spans="1:10" ht="30" customHeight="1">
      <c r="A24" s="1224"/>
      <c r="B24" s="1225"/>
      <c r="C24" s="1225"/>
      <c r="D24" s="1225"/>
      <c r="E24" s="1225"/>
      <c r="F24" s="908"/>
      <c r="G24" s="908"/>
      <c r="H24" s="908"/>
      <c r="I24" s="908"/>
      <c r="J24" s="920" t="s">
        <v>186</v>
      </c>
    </row>
    <row r="25" spans="1:10" ht="30" customHeight="1">
      <c r="A25" s="1224"/>
      <c r="B25" s="1225"/>
      <c r="C25" s="1225"/>
      <c r="D25" s="1225"/>
      <c r="E25" s="1225"/>
      <c r="F25" s="908"/>
      <c r="G25" s="908"/>
      <c r="H25" s="908"/>
      <c r="I25" s="908"/>
      <c r="J25" s="914"/>
    </row>
    <row r="26" spans="1:10" ht="30" customHeight="1">
      <c r="A26" s="1224"/>
      <c r="B26" s="1225"/>
      <c r="C26" s="1225"/>
      <c r="D26" s="1225"/>
      <c r="E26" s="1225"/>
      <c r="F26" s="908"/>
      <c r="G26" s="908"/>
      <c r="H26" s="908"/>
      <c r="I26" s="908"/>
      <c r="J26" s="914"/>
    </row>
    <row r="27" spans="1:10" s="907" customFormat="1">
      <c r="A27" s="1240" t="s">
        <v>187</v>
      </c>
      <c r="B27" s="1201"/>
      <c r="C27" s="1201"/>
      <c r="D27" s="1201"/>
      <c r="E27" s="1201"/>
      <c r="F27" s="1201" t="s">
        <v>188</v>
      </c>
      <c r="G27" s="1201"/>
      <c r="H27" s="1201"/>
      <c r="I27" s="1201"/>
      <c r="J27" s="1221"/>
    </row>
    <row r="28" spans="1:10" ht="30" customHeight="1">
      <c r="A28" s="1224"/>
      <c r="B28" s="1225"/>
      <c r="C28" s="1225"/>
      <c r="D28" s="1225"/>
      <c r="E28" s="1225"/>
      <c r="F28" s="1222"/>
      <c r="G28" s="1222"/>
      <c r="H28" s="1222"/>
      <c r="I28" s="1222"/>
      <c r="J28" s="1223"/>
    </row>
    <row r="29" spans="1:10" ht="30" customHeight="1">
      <c r="A29" s="1224"/>
      <c r="B29" s="1225"/>
      <c r="C29" s="1225"/>
      <c r="D29" s="1225"/>
      <c r="E29" s="1225"/>
      <c r="F29" s="1222"/>
      <c r="G29" s="1222"/>
      <c r="H29" s="1222"/>
      <c r="I29" s="1222"/>
      <c r="J29" s="1223"/>
    </row>
    <row r="30" spans="1:10" ht="30" customHeight="1">
      <c r="A30" s="1224"/>
      <c r="B30" s="1225"/>
      <c r="C30" s="1225"/>
      <c r="D30" s="1225"/>
      <c r="E30" s="1225"/>
      <c r="F30" s="1222"/>
      <c r="G30" s="1222"/>
      <c r="H30" s="1222"/>
      <c r="I30" s="1222"/>
      <c r="J30" s="1223"/>
    </row>
    <row r="31" spans="1:10" ht="30" customHeight="1">
      <c r="A31" s="1224"/>
      <c r="B31" s="1225"/>
      <c r="C31" s="1225"/>
      <c r="D31" s="1225"/>
      <c r="E31" s="1225"/>
      <c r="F31" s="1222"/>
      <c r="G31" s="1222"/>
      <c r="H31" s="1222"/>
      <c r="I31" s="1222"/>
      <c r="J31" s="1223"/>
    </row>
    <row r="32" spans="1:10" ht="30" customHeight="1">
      <c r="A32" s="1224"/>
      <c r="B32" s="1225"/>
      <c r="C32" s="1225"/>
      <c r="D32" s="1225"/>
      <c r="E32" s="1225"/>
      <c r="F32" s="1222"/>
      <c r="G32" s="1222"/>
      <c r="H32" s="1222"/>
      <c r="I32" s="1222"/>
      <c r="J32" s="1223"/>
    </row>
    <row r="33" spans="1:10" ht="30" customHeight="1">
      <c r="A33" s="1226"/>
      <c r="B33" s="1227"/>
      <c r="C33" s="1227"/>
      <c r="D33" s="1227"/>
      <c r="E33" s="1227"/>
      <c r="F33" s="1228"/>
      <c r="G33" s="1228"/>
      <c r="H33" s="1228"/>
      <c r="I33" s="1228"/>
      <c r="J33" s="1229"/>
    </row>
  </sheetData>
  <mergeCells count="28">
    <mergeCell ref="A28:E33"/>
    <mergeCell ref="F28:J33"/>
    <mergeCell ref="G1:H1"/>
    <mergeCell ref="I1:J1"/>
    <mergeCell ref="I2:J2"/>
    <mergeCell ref="G2:H2"/>
    <mergeCell ref="A1:C1"/>
    <mergeCell ref="A2:C2"/>
    <mergeCell ref="F14:J19"/>
    <mergeCell ref="A21:E26"/>
    <mergeCell ref="F20:J20"/>
    <mergeCell ref="A20:E20"/>
    <mergeCell ref="F27:J27"/>
    <mergeCell ref="A27:E27"/>
    <mergeCell ref="A3:B3"/>
    <mergeCell ref="C3:D3"/>
    <mergeCell ref="E3:F3"/>
    <mergeCell ref="G3:J3"/>
    <mergeCell ref="A13:E13"/>
    <mergeCell ref="F13:J13"/>
    <mergeCell ref="A4:B12"/>
    <mergeCell ref="C4:D12"/>
    <mergeCell ref="E4:F12"/>
    <mergeCell ref="G8:J8"/>
    <mergeCell ref="H9:J9"/>
    <mergeCell ref="H10:J10"/>
    <mergeCell ref="H11:J11"/>
    <mergeCell ref="H12:J12"/>
  </mergeCells>
  <pageMargins left="0.70866141732283472" right="0.70866141732283472" top="0.74803149606299213" bottom="0.74803149606299213" header="0.31496062992125984" footer="0.31496062992125984"/>
  <pageSetup paperSize="9" scale="68" orientation="landscape"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6EF19-9DE8-3648-8152-08377B4A1590}">
  <sheetPr>
    <pageSetUpPr fitToPage="1"/>
  </sheetPr>
  <dimension ref="A1:E15"/>
  <sheetViews>
    <sheetView zoomScaleNormal="100" workbookViewId="0">
      <selection activeCell="A5" sqref="A5"/>
    </sheetView>
  </sheetViews>
  <sheetFormatPr defaultColWidth="8.7109375" defaultRowHeight="15.75"/>
  <cols>
    <col min="1" max="1" width="79.28515625" style="34" customWidth="1"/>
    <col min="2" max="2" width="3.28515625" style="34" customWidth="1"/>
    <col min="3" max="3" width="68.7109375" style="34" customWidth="1"/>
    <col min="4" max="16384" width="8.7109375" style="34"/>
  </cols>
  <sheetData>
    <row r="1" spans="1:5">
      <c r="A1" s="102" t="s">
        <v>189</v>
      </c>
      <c r="B1" s="1076"/>
      <c r="C1" s="1076"/>
      <c r="D1" s="707"/>
      <c r="E1" s="707"/>
    </row>
    <row r="2" spans="1:5" s="103" customFormat="1">
      <c r="A2" s="102" t="s">
        <v>190</v>
      </c>
      <c r="B2" s="102"/>
      <c r="C2" s="102"/>
    </row>
    <row r="3" spans="1:5" s="103" customFormat="1">
      <c r="A3" s="102"/>
      <c r="B3" s="102"/>
      <c r="C3" s="102"/>
    </row>
    <row r="4" spans="1:5" s="103" customFormat="1">
      <c r="A4" s="104" t="s">
        <v>191</v>
      </c>
      <c r="B4" s="105"/>
      <c r="C4" s="104" t="s">
        <v>192</v>
      </c>
    </row>
    <row r="5" spans="1:5" ht="111" customHeight="1">
      <c r="A5" s="1053" t="s">
        <v>193</v>
      </c>
      <c r="B5" s="1075"/>
      <c r="C5" s="1053" t="s">
        <v>194</v>
      </c>
      <c r="D5" s="707"/>
      <c r="E5" s="707"/>
    </row>
    <row r="6" spans="1:5">
      <c r="A6" s="1076"/>
      <c r="B6" s="1076"/>
      <c r="C6" s="1076"/>
      <c r="D6" s="707"/>
      <c r="E6" s="707"/>
    </row>
    <row r="7" spans="1:5" s="103" customFormat="1">
      <c r="A7" s="104" t="s">
        <v>195</v>
      </c>
      <c r="B7" s="105"/>
      <c r="C7" s="104" t="s">
        <v>196</v>
      </c>
    </row>
    <row r="8" spans="1:5" ht="111" customHeight="1">
      <c r="A8" s="610" t="s">
        <v>197</v>
      </c>
      <c r="B8" s="1075"/>
      <c r="C8" s="1053" t="s">
        <v>198</v>
      </c>
      <c r="D8" s="707"/>
      <c r="E8" s="707"/>
    </row>
    <row r="9" spans="1:5">
      <c r="A9" s="1076"/>
      <c r="B9" s="1076"/>
      <c r="C9" s="1076"/>
      <c r="D9" s="707"/>
      <c r="E9" s="707"/>
    </row>
    <row r="10" spans="1:5" s="103" customFormat="1">
      <c r="A10" s="104" t="s">
        <v>57</v>
      </c>
      <c r="B10" s="105"/>
      <c r="C10" s="104" t="s">
        <v>199</v>
      </c>
    </row>
    <row r="11" spans="1:5" ht="170.25" customHeight="1">
      <c r="A11" s="610" t="s">
        <v>200</v>
      </c>
      <c r="B11" s="1075"/>
      <c r="C11" s="610" t="s">
        <v>201</v>
      </c>
      <c r="D11" s="707"/>
      <c r="E11" s="1077"/>
    </row>
    <row r="12" spans="1:5">
      <c r="A12" s="1076"/>
      <c r="B12" s="1076"/>
      <c r="C12" s="1076"/>
      <c r="D12" s="707"/>
      <c r="E12" s="707"/>
    </row>
    <row r="13" spans="1:5" s="103" customFormat="1">
      <c r="A13" s="107" t="s">
        <v>202</v>
      </c>
      <c r="B13" s="107"/>
      <c r="C13" s="107"/>
    </row>
    <row r="14" spans="1:5">
      <c r="A14" s="1241" t="s">
        <v>203</v>
      </c>
      <c r="B14" s="1242"/>
      <c r="C14" s="1243"/>
      <c r="D14" s="707"/>
      <c r="E14" s="707"/>
    </row>
    <row r="15" spans="1:5">
      <c r="A15" s="1076"/>
      <c r="B15" s="1076"/>
      <c r="C15" s="1076"/>
      <c r="D15" s="707"/>
      <c r="E15" s="707"/>
    </row>
  </sheetData>
  <mergeCells count="1">
    <mergeCell ref="A14:C14"/>
  </mergeCells>
  <pageMargins left="0.70866141732283472" right="0.33" top="0.56999999999999995" bottom="0.46" header="0.31496062992125984" footer="0.31496062992125984"/>
  <pageSetup paperSize="9" scale="89" orientation="landscape" horizontalDpi="0" verticalDpi="0"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9E5B0-A62B-5A4B-B6FE-477B74CF1EDD}">
  <sheetPr>
    <pageSetUpPr fitToPage="1"/>
  </sheetPr>
  <dimension ref="A1:E11"/>
  <sheetViews>
    <sheetView zoomScaleNormal="100" workbookViewId="0"/>
  </sheetViews>
  <sheetFormatPr defaultColWidth="8.7109375" defaultRowHeight="15.75"/>
  <cols>
    <col min="1" max="1" width="18.28515625" style="34" customWidth="1"/>
    <col min="2" max="2" width="22" style="34" customWidth="1"/>
    <col min="3" max="3" width="18.28515625" style="34" customWidth="1"/>
    <col min="4" max="4" width="22" style="34" customWidth="1"/>
    <col min="5" max="6" width="18.28515625" style="34" customWidth="1"/>
    <col min="7" max="16384" width="8.7109375" style="34"/>
  </cols>
  <sheetData>
    <row r="1" spans="1:5">
      <c r="A1" s="1076"/>
      <c r="B1" s="1076"/>
      <c r="C1" s="1076"/>
      <c r="D1" s="1076"/>
      <c r="E1" s="1076"/>
    </row>
    <row r="2" spans="1:5">
      <c r="A2" s="1076"/>
      <c r="B2" s="1076"/>
      <c r="C2" s="1076"/>
      <c r="D2" s="1076"/>
      <c r="E2" s="1076"/>
    </row>
    <row r="3" spans="1:5">
      <c r="A3" s="1076"/>
      <c r="B3" s="1076"/>
      <c r="C3" s="1076"/>
      <c r="D3" s="1076"/>
      <c r="E3" s="1076"/>
    </row>
    <row r="4" spans="1:5">
      <c r="A4" s="1076"/>
      <c r="B4" s="1076"/>
      <c r="C4" s="1076"/>
      <c r="D4" s="1076"/>
      <c r="E4" s="1076"/>
    </row>
    <row r="5" spans="1:5">
      <c r="A5" s="1076"/>
      <c r="B5" s="1076"/>
      <c r="C5" s="1076"/>
      <c r="D5" s="1076"/>
      <c r="E5" s="1076"/>
    </row>
    <row r="6" spans="1:5" s="111" customFormat="1" ht="24" customHeight="1" thickBot="1">
      <c r="A6" s="108" t="s">
        <v>172</v>
      </c>
      <c r="B6" s="109" t="s">
        <v>173</v>
      </c>
      <c r="C6" s="109" t="s">
        <v>174</v>
      </c>
      <c r="D6" s="109" t="s">
        <v>175</v>
      </c>
      <c r="E6" s="110" t="s">
        <v>176</v>
      </c>
    </row>
    <row r="7" spans="1:5" ht="31.9" customHeight="1">
      <c r="A7" s="1078" t="s">
        <v>204</v>
      </c>
      <c r="B7" s="611" t="s">
        <v>205</v>
      </c>
      <c r="C7" s="611" t="s">
        <v>206</v>
      </c>
      <c r="D7" s="611" t="s">
        <v>207</v>
      </c>
      <c r="E7" s="1079" t="s">
        <v>204</v>
      </c>
    </row>
    <row r="8" spans="1:5" ht="31.9" customHeight="1">
      <c r="A8" s="1080" t="s">
        <v>204</v>
      </c>
      <c r="B8" s="612" t="s">
        <v>208</v>
      </c>
      <c r="C8" s="612" t="s">
        <v>209</v>
      </c>
      <c r="D8" s="612" t="s">
        <v>210</v>
      </c>
      <c r="E8" s="1081" t="s">
        <v>204</v>
      </c>
    </row>
    <row r="9" spans="1:5" ht="31.9" customHeight="1">
      <c r="A9" s="1080" t="s">
        <v>204</v>
      </c>
      <c r="B9" s="612" t="s">
        <v>211</v>
      </c>
      <c r="C9" s="612" t="s">
        <v>212</v>
      </c>
      <c r="D9" s="612" t="s">
        <v>213</v>
      </c>
      <c r="E9" s="1081" t="s">
        <v>204</v>
      </c>
    </row>
    <row r="10" spans="1:5" ht="31.9" customHeight="1">
      <c r="A10" s="1080"/>
      <c r="B10" s="612"/>
      <c r="C10" s="612"/>
      <c r="D10" s="612"/>
      <c r="E10" s="1081"/>
    </row>
    <row r="11" spans="1:5" ht="31.9" customHeight="1">
      <c r="A11" s="1082"/>
      <c r="B11" s="1083"/>
      <c r="C11" s="1083"/>
      <c r="D11" s="1083"/>
      <c r="E11" s="1084"/>
    </row>
  </sheetData>
  <pageMargins left="0.70866141732283472" right="0.70866141732283472" top="0.74803149606299213" bottom="0.74803149606299213" header="0.31496062992125984" footer="0.31496062992125984"/>
  <pageSetup paperSize="9" orientation="landscape" horizontalDpi="0"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EF7B7-BE1C-7540-9D73-26905F9F1C88}">
  <sheetPr>
    <pageSetUpPr fitToPage="1"/>
  </sheetPr>
  <dimension ref="A1:L18"/>
  <sheetViews>
    <sheetView zoomScaleNormal="100" zoomScalePageLayoutView="70" workbookViewId="0">
      <selection activeCell="B1" sqref="B1"/>
    </sheetView>
  </sheetViews>
  <sheetFormatPr defaultColWidth="8.7109375" defaultRowHeight="15.75"/>
  <cols>
    <col min="1" max="1" width="10.28515625" style="114" customWidth="1"/>
    <col min="2" max="2" width="4.7109375" style="115" customWidth="1"/>
    <col min="3" max="3" width="10.28515625" style="116" customWidth="1"/>
    <col min="4" max="4" width="10.140625" style="117" customWidth="1"/>
    <col min="5" max="5" width="4.7109375" style="117" customWidth="1"/>
    <col min="6" max="6" width="18.7109375" style="118" customWidth="1"/>
    <col min="7" max="7" width="8.7109375" style="117" customWidth="1"/>
    <col min="8" max="8" width="2.7109375" style="119" customWidth="1"/>
    <col min="9" max="9" width="38.5703125" style="120" customWidth="1"/>
    <col min="10" max="10" width="6.28515625" style="119" customWidth="1"/>
    <col min="11" max="11" width="7.28515625" style="119" customWidth="1"/>
    <col min="12" max="12" width="6.28515625" style="119" customWidth="1"/>
    <col min="13" max="16384" width="8.7109375" style="121"/>
  </cols>
  <sheetData>
    <row r="1" spans="1:12" s="112" customFormat="1">
      <c r="A1" s="113" t="s">
        <v>214</v>
      </c>
      <c r="B1" s="112" t="s">
        <v>215</v>
      </c>
      <c r="C1" s="145"/>
      <c r="F1" s="145"/>
      <c r="I1" s="145"/>
      <c r="J1" s="113" t="s">
        <v>216</v>
      </c>
      <c r="K1" s="1244" t="s">
        <v>217</v>
      </c>
      <c r="L1" s="1244"/>
    </row>
    <row r="2" spans="1:12" s="112" customFormat="1" ht="7.15" customHeight="1">
      <c r="C2" s="145"/>
      <c r="F2" s="145"/>
      <c r="I2" s="145"/>
    </row>
    <row r="3" spans="1:12">
      <c r="B3" s="114"/>
      <c r="C3" s="1245" t="s">
        <v>218</v>
      </c>
      <c r="D3" s="1245"/>
      <c r="E3" s="122"/>
      <c r="F3" s="1246" t="s">
        <v>219</v>
      </c>
      <c r="G3" s="1246"/>
      <c r="H3" s="123"/>
      <c r="I3" s="1247" t="s">
        <v>220</v>
      </c>
      <c r="J3" s="143"/>
      <c r="K3" s="143"/>
      <c r="L3" s="143"/>
    </row>
    <row r="4" spans="1:12" s="125" customFormat="1" ht="34.5" customHeight="1" thickBot="1">
      <c r="A4" s="124"/>
      <c r="B4" s="124"/>
      <c r="C4" s="142" t="s">
        <v>221</v>
      </c>
      <c r="D4" s="633" t="s">
        <v>222</v>
      </c>
      <c r="E4" s="124"/>
      <c r="F4" s="141" t="s">
        <v>149</v>
      </c>
      <c r="G4" s="141" t="s">
        <v>223</v>
      </c>
      <c r="H4" s="124"/>
      <c r="I4" s="1248"/>
      <c r="J4" s="144" t="s">
        <v>224</v>
      </c>
      <c r="K4" s="144" t="s">
        <v>225</v>
      </c>
      <c r="L4" s="144" t="s">
        <v>226</v>
      </c>
    </row>
    <row r="5" spans="1:12" s="126" customFormat="1" ht="5.65" customHeight="1">
      <c r="A5" s="122"/>
      <c r="B5" s="117"/>
      <c r="C5" s="122"/>
      <c r="D5" s="117"/>
      <c r="E5" s="117"/>
      <c r="F5" s="117"/>
      <c r="G5" s="117"/>
      <c r="H5" s="117"/>
      <c r="I5" s="117"/>
      <c r="J5" s="117"/>
      <c r="K5" s="117"/>
      <c r="L5" s="117"/>
    </row>
    <row r="6" spans="1:12" s="132" customFormat="1">
      <c r="A6" s="127"/>
      <c r="B6" s="128"/>
      <c r="C6" s="116"/>
      <c r="D6" s="128"/>
      <c r="E6" s="117"/>
      <c r="F6" s="129" t="s">
        <v>227</v>
      </c>
      <c r="G6" s="130" t="s">
        <v>228</v>
      </c>
      <c r="H6" s="117"/>
      <c r="I6" s="129" t="s">
        <v>227</v>
      </c>
      <c r="J6" s="131" t="s">
        <v>229</v>
      </c>
      <c r="K6" s="131" t="s">
        <v>229</v>
      </c>
      <c r="L6" s="130" t="s">
        <v>229</v>
      </c>
    </row>
    <row r="7" spans="1:12" s="132" customFormat="1" ht="14.65" customHeight="1">
      <c r="A7" s="127"/>
      <c r="B7" s="128"/>
      <c r="C7" s="133" t="s">
        <v>227</v>
      </c>
      <c r="D7" s="134" t="s">
        <v>229</v>
      </c>
      <c r="E7" s="117"/>
      <c r="F7" s="135"/>
      <c r="G7" s="131"/>
      <c r="H7" s="117"/>
      <c r="I7" s="135"/>
      <c r="J7" s="131"/>
      <c r="K7" s="131"/>
      <c r="L7" s="131"/>
    </row>
    <row r="8" spans="1:12" s="132" customFormat="1">
      <c r="A8" s="127"/>
      <c r="B8" s="128"/>
      <c r="C8" s="116"/>
      <c r="D8" s="117"/>
      <c r="E8" s="117"/>
      <c r="F8" s="129" t="s">
        <v>227</v>
      </c>
      <c r="G8" s="130" t="s">
        <v>228</v>
      </c>
      <c r="H8" s="117"/>
      <c r="I8" s="129" t="s">
        <v>227</v>
      </c>
      <c r="J8" s="131" t="s">
        <v>229</v>
      </c>
      <c r="K8" s="131" t="s">
        <v>229</v>
      </c>
      <c r="L8" s="130" t="s">
        <v>229</v>
      </c>
    </row>
    <row r="9" spans="1:12" s="132" customFormat="1" ht="14.65" customHeight="1">
      <c r="A9" s="127"/>
      <c r="B9" s="128"/>
      <c r="C9" s="116"/>
      <c r="D9" s="117"/>
      <c r="E9" s="117"/>
      <c r="F9" s="118"/>
      <c r="G9" s="117"/>
      <c r="H9" s="117"/>
      <c r="I9" s="118"/>
      <c r="J9" s="117"/>
      <c r="K9" s="117"/>
      <c r="L9" s="117"/>
    </row>
    <row r="10" spans="1:12" s="132" customFormat="1">
      <c r="A10" s="127"/>
      <c r="B10" s="128"/>
      <c r="C10" s="116"/>
      <c r="D10" s="128"/>
      <c r="E10" s="117"/>
      <c r="F10" s="129" t="s">
        <v>227</v>
      </c>
      <c r="G10" s="130" t="s">
        <v>228</v>
      </c>
      <c r="H10" s="117"/>
      <c r="I10" s="129" t="s">
        <v>227</v>
      </c>
      <c r="J10" s="131" t="s">
        <v>229</v>
      </c>
      <c r="K10" s="131" t="s">
        <v>229</v>
      </c>
      <c r="L10" s="130" t="s">
        <v>229</v>
      </c>
    </row>
    <row r="11" spans="1:12" s="132" customFormat="1">
      <c r="A11" s="127"/>
      <c r="B11" s="128"/>
      <c r="C11" s="116"/>
      <c r="D11" s="117"/>
      <c r="E11" s="1018"/>
      <c r="F11" s="118"/>
      <c r="G11" s="117"/>
      <c r="H11" s="117"/>
      <c r="I11" s="118"/>
      <c r="J11" s="136"/>
      <c r="K11" s="137"/>
      <c r="L11" s="117"/>
    </row>
    <row r="12" spans="1:12" s="132" customFormat="1" ht="31.5">
      <c r="A12" s="634" t="s">
        <v>230</v>
      </c>
      <c r="B12" s="128"/>
      <c r="C12" s="133" t="s">
        <v>227</v>
      </c>
      <c r="D12" s="134" t="s">
        <v>229</v>
      </c>
      <c r="E12" s="117"/>
      <c r="F12" s="129" t="s">
        <v>227</v>
      </c>
      <c r="G12" s="130" t="s">
        <v>228</v>
      </c>
      <c r="H12" s="117"/>
      <c r="I12" s="129" t="s">
        <v>227</v>
      </c>
      <c r="J12" s="131" t="s">
        <v>229</v>
      </c>
      <c r="K12" s="131" t="s">
        <v>229</v>
      </c>
      <c r="L12" s="130" t="s">
        <v>229</v>
      </c>
    </row>
    <row r="13" spans="1:12" s="132" customFormat="1">
      <c r="A13" s="127"/>
      <c r="B13" s="128"/>
      <c r="C13" s="116"/>
      <c r="D13" s="117"/>
      <c r="E13" s="117"/>
      <c r="F13" s="118"/>
      <c r="G13" s="117"/>
      <c r="H13" s="117"/>
      <c r="I13" s="118"/>
      <c r="J13" s="138"/>
      <c r="K13" s="137"/>
      <c r="L13" s="117"/>
    </row>
    <row r="14" spans="1:12" s="132" customFormat="1">
      <c r="A14" s="127"/>
      <c r="B14" s="128"/>
      <c r="C14" s="116"/>
      <c r="D14" s="117"/>
      <c r="E14" s="117"/>
      <c r="F14" s="129" t="s">
        <v>227</v>
      </c>
      <c r="G14" s="130" t="s">
        <v>228</v>
      </c>
      <c r="H14" s="117"/>
      <c r="I14" s="129" t="s">
        <v>227</v>
      </c>
      <c r="J14" s="131" t="s">
        <v>229</v>
      </c>
      <c r="K14" s="131" t="s">
        <v>229</v>
      </c>
      <c r="L14" s="130" t="s">
        <v>229</v>
      </c>
    </row>
    <row r="15" spans="1:12" s="132" customFormat="1" ht="15.75" customHeight="1">
      <c r="A15" s="127"/>
      <c r="B15" s="128"/>
      <c r="C15" s="116"/>
      <c r="D15" s="117"/>
      <c r="E15" s="117"/>
      <c r="F15" s="118"/>
      <c r="G15" s="117"/>
      <c r="H15" s="117"/>
      <c r="I15" s="118"/>
      <c r="J15" s="117"/>
      <c r="K15" s="117"/>
      <c r="L15" s="117"/>
    </row>
    <row r="16" spans="1:12" s="132" customFormat="1">
      <c r="A16" s="127"/>
      <c r="B16" s="128"/>
      <c r="C16" s="116"/>
      <c r="D16" s="128"/>
      <c r="E16" s="117"/>
      <c r="F16" s="139" t="s">
        <v>227</v>
      </c>
      <c r="G16" s="140" t="s">
        <v>228</v>
      </c>
      <c r="H16" s="117"/>
      <c r="I16" s="139" t="s">
        <v>227</v>
      </c>
      <c r="J16" s="131" t="s">
        <v>229</v>
      </c>
      <c r="K16" s="131" t="s">
        <v>229</v>
      </c>
      <c r="L16" s="130" t="s">
        <v>229</v>
      </c>
    </row>
    <row r="17" spans="1:12" s="132" customFormat="1">
      <c r="A17" s="127"/>
      <c r="B17" s="128"/>
      <c r="C17" s="133" t="s">
        <v>227</v>
      </c>
      <c r="D17" s="134" t="s">
        <v>229</v>
      </c>
      <c r="E17" s="117"/>
      <c r="F17" s="118"/>
      <c r="G17" s="117"/>
      <c r="H17" s="117"/>
      <c r="I17" s="118"/>
      <c r="J17" s="117"/>
      <c r="K17" s="117"/>
      <c r="L17" s="117"/>
    </row>
    <row r="18" spans="1:12" s="132" customFormat="1">
      <c r="A18" s="127"/>
      <c r="B18" s="128"/>
      <c r="C18" s="116"/>
      <c r="D18" s="117"/>
      <c r="E18" s="117"/>
      <c r="F18" s="139" t="s">
        <v>227</v>
      </c>
      <c r="G18" s="140" t="s">
        <v>228</v>
      </c>
      <c r="H18" s="117"/>
      <c r="I18" s="139" t="s">
        <v>227</v>
      </c>
      <c r="J18" s="131" t="s">
        <v>229</v>
      </c>
      <c r="K18" s="131" t="s">
        <v>229</v>
      </c>
      <c r="L18" s="130" t="s">
        <v>229</v>
      </c>
    </row>
  </sheetData>
  <mergeCells count="4">
    <mergeCell ref="K1:L1"/>
    <mergeCell ref="C3:D3"/>
    <mergeCell ref="F3:G3"/>
    <mergeCell ref="I3:I4"/>
  </mergeCells>
  <pageMargins left="0.70866141732283472" right="0.70866141732283472" top="0.74803149606299213" bottom="0.74803149606299213" header="0.31496062992125984" footer="0.31496062992125984"/>
  <pageSetup paperSize="9" orientation="landscape"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FAD78-2FF8-C94E-A85F-145791BBB470}">
  <sheetPr>
    <pageSetUpPr fitToPage="1"/>
  </sheetPr>
  <dimension ref="A1:H11"/>
  <sheetViews>
    <sheetView zoomScaleNormal="100" workbookViewId="0">
      <selection activeCell="H7" sqref="H7"/>
    </sheetView>
  </sheetViews>
  <sheetFormatPr defaultColWidth="8.7109375" defaultRowHeight="15.75"/>
  <cols>
    <col min="1" max="2" width="16.7109375" style="147" customWidth="1"/>
    <col min="3" max="3" width="41.7109375" style="147" customWidth="1"/>
    <col min="4" max="4" width="16.7109375" style="146" hidden="1" customWidth="1"/>
    <col min="5" max="8" width="16.7109375" style="146" customWidth="1"/>
    <col min="9" max="16384" width="8.7109375" style="146"/>
  </cols>
  <sheetData>
    <row r="1" spans="1:8">
      <c r="A1" s="148" t="s">
        <v>231</v>
      </c>
      <c r="B1" s="148"/>
      <c r="C1" s="148"/>
      <c r="D1" s="148"/>
      <c r="E1" s="148"/>
      <c r="F1" s="148"/>
      <c r="G1" s="148"/>
      <c r="H1" s="148"/>
    </row>
    <row r="2" spans="1:8">
      <c r="A2" s="646" t="s">
        <v>232</v>
      </c>
      <c r="B2" s="932" t="s">
        <v>149</v>
      </c>
      <c r="C2" s="933" t="s">
        <v>233</v>
      </c>
      <c r="D2" s="929" t="s">
        <v>149</v>
      </c>
      <c r="E2" s="930" t="s">
        <v>234</v>
      </c>
      <c r="F2" s="930" t="s">
        <v>235</v>
      </c>
      <c r="G2" s="930" t="s">
        <v>236</v>
      </c>
      <c r="H2" s="931" t="s">
        <v>237</v>
      </c>
    </row>
    <row r="3" spans="1:8" ht="47.25">
      <c r="A3" s="1085" t="s">
        <v>238</v>
      </c>
      <c r="B3" s="1085"/>
      <c r="C3" s="1047" t="s">
        <v>239</v>
      </c>
      <c r="D3" s="1086"/>
      <c r="E3" s="1086"/>
      <c r="F3" s="1086"/>
      <c r="G3" s="1086"/>
      <c r="H3" s="1087"/>
    </row>
    <row r="4" spans="1:8" ht="47.25">
      <c r="A4" s="1085" t="s">
        <v>240</v>
      </c>
      <c r="B4" s="1085"/>
      <c r="C4" s="1047" t="s">
        <v>241</v>
      </c>
      <c r="D4" s="1086"/>
      <c r="E4" s="1086"/>
      <c r="F4" s="1086"/>
      <c r="G4" s="1086"/>
      <c r="H4" s="1087"/>
    </row>
    <row r="5" spans="1:8" ht="63">
      <c r="A5" s="1085" t="s">
        <v>167</v>
      </c>
      <c r="B5" s="1085"/>
      <c r="C5" s="1047" t="s">
        <v>242</v>
      </c>
      <c r="D5" s="1086"/>
      <c r="E5" s="1086"/>
      <c r="F5" s="1086"/>
      <c r="G5" s="1086"/>
      <c r="H5" s="1087"/>
    </row>
    <row r="6" spans="1:8" ht="47.25">
      <c r="A6" s="1085" t="s">
        <v>243</v>
      </c>
      <c r="B6" s="1085"/>
      <c r="C6" s="1047" t="s">
        <v>244</v>
      </c>
      <c r="D6" s="1086"/>
      <c r="E6" s="1086"/>
      <c r="F6" s="1086"/>
      <c r="G6" s="1086"/>
      <c r="H6" s="1087"/>
    </row>
    <row r="7" spans="1:8" ht="31.5">
      <c r="A7" s="1085" t="s">
        <v>245</v>
      </c>
      <c r="B7" s="1085"/>
      <c r="C7" s="1047" t="s">
        <v>246</v>
      </c>
      <c r="D7" s="1086"/>
      <c r="E7" s="1086"/>
      <c r="F7" s="1086"/>
      <c r="G7" s="1086"/>
      <c r="H7" s="1087"/>
    </row>
    <row r="8" spans="1:8" ht="78.75">
      <c r="A8" s="1088" t="s">
        <v>247</v>
      </c>
      <c r="B8" s="1088"/>
      <c r="C8" s="1052" t="s">
        <v>248</v>
      </c>
      <c r="D8" s="1089"/>
      <c r="E8" s="1089"/>
      <c r="F8" s="1089"/>
      <c r="G8" s="1089"/>
      <c r="H8" s="1090"/>
    </row>
    <row r="11" spans="1:8">
      <c r="A11" s="1091"/>
      <c r="B11" s="1091"/>
      <c r="C11" s="1091"/>
      <c r="D11" s="656"/>
      <c r="E11" s="1092"/>
      <c r="F11" s="656"/>
      <c r="G11" s="656"/>
      <c r="H11" s="656"/>
    </row>
  </sheetData>
  <pageMargins left="0.70866141732283472" right="0.70866141732283472" top="0.74803149606299213" bottom="0.74803149606299213" header="0.31496062992125984" footer="0.31496062992125984"/>
  <pageSetup paperSize="9" scale="92" orientation="landscape" horizontalDpi="0" verticalDpi="0"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5E795-F869-3C4F-975B-5ECDAE654231}">
  <sheetPr>
    <pageSetUpPr fitToPage="1"/>
  </sheetPr>
  <dimension ref="A1:F11"/>
  <sheetViews>
    <sheetView zoomScaleNormal="100" workbookViewId="0">
      <pane xSplit="1" ySplit="2" topLeftCell="B3" activePane="bottomRight" state="frozen"/>
      <selection pane="bottomRight" activeCell="C4" sqref="C4"/>
      <selection pane="bottomLeft" activeCell="AA21" sqref="AA21"/>
      <selection pane="topRight" activeCell="AA21" sqref="AA21"/>
    </sheetView>
  </sheetViews>
  <sheetFormatPr defaultColWidth="8.7109375" defaultRowHeight="15.75"/>
  <cols>
    <col min="1" max="1" width="14.42578125" style="147" customWidth="1"/>
    <col min="2" max="2" width="24.42578125" style="147" customWidth="1"/>
    <col min="3" max="3" width="22.7109375" style="147" customWidth="1"/>
    <col min="4" max="4" width="29.7109375" style="147" bestFit="1" customWidth="1"/>
    <col min="5" max="6" width="18.7109375" style="147" customWidth="1"/>
    <col min="7" max="16384" width="8.7109375" style="34"/>
  </cols>
  <sheetData>
    <row r="1" spans="1:6">
      <c r="A1" s="149" t="s">
        <v>249</v>
      </c>
      <c r="B1" s="1093"/>
      <c r="C1" s="1093"/>
      <c r="D1" s="1093"/>
      <c r="E1" s="1093"/>
      <c r="F1" s="1093"/>
    </row>
    <row r="2" spans="1:6">
      <c r="A2" s="646" t="s">
        <v>250</v>
      </c>
      <c r="B2" s="647" t="s">
        <v>251</v>
      </c>
      <c r="C2" s="647" t="s">
        <v>252</v>
      </c>
      <c r="D2" s="647" t="s">
        <v>253</v>
      </c>
      <c r="E2" s="647" t="s">
        <v>169</v>
      </c>
      <c r="F2" s="648" t="s">
        <v>254</v>
      </c>
    </row>
    <row r="3" spans="1:6" ht="47.25">
      <c r="A3" s="1085" t="s">
        <v>255</v>
      </c>
      <c r="B3" s="1047" t="s">
        <v>256</v>
      </c>
      <c r="C3" s="1047" t="s">
        <v>257</v>
      </c>
      <c r="D3" s="1047" t="s">
        <v>258</v>
      </c>
      <c r="E3" s="1047" t="s">
        <v>259</v>
      </c>
      <c r="F3" s="1094" t="s">
        <v>260</v>
      </c>
    </row>
    <row r="4" spans="1:6" ht="47.25">
      <c r="A4" s="1085" t="s">
        <v>261</v>
      </c>
      <c r="B4" s="1047" t="s">
        <v>262</v>
      </c>
      <c r="C4" s="1047" t="s">
        <v>263</v>
      </c>
      <c r="D4" s="1047" t="s">
        <v>264</v>
      </c>
      <c r="E4" s="1047" t="s">
        <v>265</v>
      </c>
      <c r="F4" s="1094" t="s">
        <v>260</v>
      </c>
    </row>
    <row r="5" spans="1:6" ht="47.25">
      <c r="A5" s="1085" t="s">
        <v>266</v>
      </c>
      <c r="B5" s="1047" t="s">
        <v>262</v>
      </c>
      <c r="C5" s="1047" t="s">
        <v>263</v>
      </c>
      <c r="D5" s="1047" t="s">
        <v>267</v>
      </c>
      <c r="E5" s="1047" t="s">
        <v>268</v>
      </c>
      <c r="F5" s="1094" t="s">
        <v>260</v>
      </c>
    </row>
    <row r="6" spans="1:6" ht="47.25">
      <c r="A6" s="1088" t="s">
        <v>269</v>
      </c>
      <c r="B6" s="1052" t="s">
        <v>270</v>
      </c>
      <c r="C6" s="1052" t="s">
        <v>271</v>
      </c>
      <c r="D6" s="1052" t="s">
        <v>272</v>
      </c>
      <c r="E6" s="1052" t="s">
        <v>273</v>
      </c>
      <c r="F6" s="1095" t="s">
        <v>260</v>
      </c>
    </row>
    <row r="11" spans="1:6">
      <c r="A11" s="1091"/>
      <c r="B11" s="1091"/>
      <c r="C11" s="1091"/>
      <c r="D11" s="1091"/>
      <c r="E11" s="1096"/>
      <c r="F11" s="1091"/>
    </row>
  </sheetData>
  <pageMargins left="0.70866141732283472" right="0.70866141732283472" top="0.74803149606299213" bottom="0.74803149606299213" header="0.31496062992125984" footer="0.31496062992125984"/>
  <pageSetup paperSize="9" orientation="landscape" horizontalDpi="0" verticalDpi="0"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CBB71-4DAF-449D-9050-A4063FAE049D}">
  <sheetPr>
    <pageSetUpPr fitToPage="1"/>
  </sheetPr>
  <dimension ref="A1:K14"/>
  <sheetViews>
    <sheetView zoomScaleNormal="100" workbookViewId="0">
      <selection activeCell="B1" sqref="B1:B1048576"/>
    </sheetView>
  </sheetViews>
  <sheetFormatPr defaultRowHeight="15"/>
  <cols>
    <col min="1" max="1" width="18.5703125" style="613" bestFit="1" customWidth="1"/>
    <col min="2" max="2" width="10.28515625" style="613" customWidth="1"/>
    <col min="3" max="3" width="7" style="150" bestFit="1" customWidth="1"/>
    <col min="4" max="4" width="8.28515625" style="150" bestFit="1" customWidth="1"/>
    <col min="5" max="5" width="10.7109375" style="613" bestFit="1" customWidth="1"/>
    <col min="6" max="6" width="7" style="150" bestFit="1" customWidth="1"/>
    <col min="7" max="7" width="8.28515625" style="150" bestFit="1" customWidth="1"/>
    <col min="8" max="8" width="10.7109375" style="613" bestFit="1" customWidth="1"/>
    <col min="9" max="9" width="8.42578125" style="613" bestFit="1" customWidth="1"/>
    <col min="10" max="10" width="40.5703125" style="614" customWidth="1"/>
    <col min="11" max="16384" width="9.140625" style="613"/>
  </cols>
  <sheetData>
    <row r="1" spans="1:11">
      <c r="A1" s="637"/>
      <c r="B1" s="640"/>
      <c r="C1" s="1249" t="s">
        <v>274</v>
      </c>
      <c r="D1" s="1250"/>
      <c r="E1" s="1251"/>
      <c r="F1" s="1252" t="s">
        <v>275</v>
      </c>
      <c r="G1" s="1253"/>
      <c r="H1" s="1254"/>
      <c r="I1" s="637"/>
      <c r="J1" s="642"/>
      <c r="K1" s="635"/>
    </row>
    <row r="2" spans="1:11">
      <c r="A2" s="638" t="s">
        <v>276</v>
      </c>
      <c r="B2" s="641" t="s">
        <v>149</v>
      </c>
      <c r="C2" s="644" t="s">
        <v>277</v>
      </c>
      <c r="D2" s="639" t="s">
        <v>278</v>
      </c>
      <c r="E2" s="1051" t="s">
        <v>183</v>
      </c>
      <c r="F2" s="1048" t="s">
        <v>277</v>
      </c>
      <c r="G2" s="1049" t="s">
        <v>278</v>
      </c>
      <c r="H2" s="1050" t="s">
        <v>183</v>
      </c>
      <c r="I2" s="638" t="s">
        <v>279</v>
      </c>
      <c r="J2" s="643" t="s">
        <v>280</v>
      </c>
      <c r="K2" s="635"/>
    </row>
    <row r="3" spans="1:11" ht="60">
      <c r="A3" s="613" t="s">
        <v>240</v>
      </c>
      <c r="B3" s="632" t="s">
        <v>281</v>
      </c>
      <c r="C3" s="645">
        <v>5</v>
      </c>
      <c r="D3" s="150">
        <v>4</v>
      </c>
      <c r="E3" s="632" t="s">
        <v>282</v>
      </c>
      <c r="F3" s="645">
        <v>5</v>
      </c>
      <c r="G3" s="150">
        <v>5</v>
      </c>
      <c r="H3" s="632" t="s">
        <v>283</v>
      </c>
      <c r="I3" s="613" t="s">
        <v>284</v>
      </c>
      <c r="J3" s="614" t="s">
        <v>285</v>
      </c>
    </row>
    <row r="4" spans="1:11" ht="45">
      <c r="A4" s="613" t="s">
        <v>167</v>
      </c>
      <c r="B4" s="632" t="s">
        <v>286</v>
      </c>
      <c r="C4" s="645">
        <v>5</v>
      </c>
      <c r="D4" s="150">
        <v>3</v>
      </c>
      <c r="E4" s="632" t="s">
        <v>287</v>
      </c>
      <c r="F4" s="645">
        <v>5</v>
      </c>
      <c r="G4" s="150">
        <v>5</v>
      </c>
      <c r="H4" s="632" t="s">
        <v>283</v>
      </c>
      <c r="I4" s="613" t="s">
        <v>288</v>
      </c>
      <c r="J4" s="614" t="s">
        <v>289</v>
      </c>
    </row>
    <row r="5" spans="1:11" ht="60">
      <c r="A5" s="613" t="s">
        <v>245</v>
      </c>
      <c r="B5" s="632" t="s">
        <v>290</v>
      </c>
      <c r="C5" s="645">
        <v>3</v>
      </c>
      <c r="D5" s="150">
        <v>3</v>
      </c>
      <c r="E5" s="632" t="s">
        <v>291</v>
      </c>
      <c r="F5" s="645">
        <v>3</v>
      </c>
      <c r="G5" s="150">
        <v>4</v>
      </c>
      <c r="H5" s="632" t="s">
        <v>282</v>
      </c>
      <c r="I5" s="613" t="s">
        <v>284</v>
      </c>
      <c r="J5" s="614" t="s">
        <v>285</v>
      </c>
    </row>
    <row r="6" spans="1:11">
      <c r="A6" s="613" t="s">
        <v>168</v>
      </c>
      <c r="B6" s="632"/>
      <c r="C6" s="645"/>
      <c r="E6" s="632"/>
      <c r="F6" s="645"/>
      <c r="H6" s="632"/>
    </row>
    <row r="7" spans="1:11" ht="75">
      <c r="B7" s="632" t="s">
        <v>292</v>
      </c>
      <c r="C7" s="645">
        <v>3</v>
      </c>
      <c r="D7" s="150">
        <v>1</v>
      </c>
      <c r="E7" s="632" t="s">
        <v>293</v>
      </c>
      <c r="F7" s="645">
        <v>3</v>
      </c>
      <c r="G7" s="150">
        <v>3</v>
      </c>
      <c r="H7" s="632" t="s">
        <v>288</v>
      </c>
      <c r="J7" s="614" t="s">
        <v>294</v>
      </c>
    </row>
    <row r="8" spans="1:11">
      <c r="B8" s="632" t="s">
        <v>295</v>
      </c>
      <c r="C8" s="645">
        <v>3</v>
      </c>
      <c r="D8" s="150">
        <v>3</v>
      </c>
      <c r="E8" s="632" t="s">
        <v>287</v>
      </c>
      <c r="F8" s="645">
        <v>3</v>
      </c>
      <c r="G8" s="150">
        <v>4</v>
      </c>
      <c r="H8" s="632" t="s">
        <v>284</v>
      </c>
      <c r="J8" s="614" t="s">
        <v>296</v>
      </c>
    </row>
    <row r="9" spans="1:11">
      <c r="B9" s="632" t="s">
        <v>297</v>
      </c>
      <c r="C9" s="645">
        <v>3</v>
      </c>
      <c r="D9" s="150">
        <v>5</v>
      </c>
      <c r="E9" s="632" t="s">
        <v>283</v>
      </c>
      <c r="F9" s="645">
        <v>3</v>
      </c>
      <c r="G9" s="150">
        <v>5</v>
      </c>
      <c r="H9" s="632" t="s">
        <v>298</v>
      </c>
      <c r="J9" s="614" t="s">
        <v>296</v>
      </c>
    </row>
    <row r="10" spans="1:11">
      <c r="A10" s="613" t="s">
        <v>299</v>
      </c>
      <c r="B10" s="632"/>
      <c r="C10" s="645"/>
      <c r="E10" s="632"/>
      <c r="F10" s="645"/>
      <c r="H10" s="632"/>
    </row>
    <row r="11" spans="1:11">
      <c r="A11" s="636" t="s">
        <v>300</v>
      </c>
      <c r="B11" s="632" t="s">
        <v>301</v>
      </c>
      <c r="C11" s="645"/>
      <c r="E11" s="1017"/>
      <c r="F11" s="645"/>
      <c r="H11" s="632"/>
    </row>
    <row r="12" spans="1:11">
      <c r="A12" s="636" t="s">
        <v>302</v>
      </c>
      <c r="B12" s="632" t="s">
        <v>303</v>
      </c>
      <c r="C12" s="645"/>
      <c r="E12" s="632"/>
      <c r="F12" s="645"/>
      <c r="H12" s="632"/>
    </row>
    <row r="13" spans="1:11" ht="45">
      <c r="A13" s="636" t="s">
        <v>304</v>
      </c>
      <c r="B13" s="632" t="s">
        <v>305</v>
      </c>
      <c r="C13" s="645">
        <v>4</v>
      </c>
      <c r="D13" s="150">
        <v>2</v>
      </c>
      <c r="E13" s="632" t="s">
        <v>291</v>
      </c>
      <c r="F13" s="645">
        <v>4</v>
      </c>
      <c r="G13" s="150">
        <v>4</v>
      </c>
      <c r="H13" s="632" t="s">
        <v>282</v>
      </c>
      <c r="I13" s="613" t="s">
        <v>284</v>
      </c>
      <c r="J13" s="614" t="s">
        <v>306</v>
      </c>
    </row>
    <row r="14" spans="1:11">
      <c r="A14" s="613" t="s">
        <v>296</v>
      </c>
    </row>
  </sheetData>
  <mergeCells count="2">
    <mergeCell ref="C1:E1"/>
    <mergeCell ref="F1:H1"/>
  </mergeCells>
  <pageMargins left="0.70866141732283472" right="0.70866141732283472" top="0.74803149606299213" bottom="0.74803149606299213" header="0.31496062992125984" footer="0.31496062992125984"/>
  <pageSetup paperSize="9" scale="70" orientation="landscape" horizontalDpi="0" verticalDpi="0" r:id="rId1"/>
  <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C7493-6A99-F146-BD74-A7915AAA4951}">
  <sheetPr>
    <pageSetUpPr fitToPage="1"/>
  </sheetPr>
  <dimension ref="A1:G11"/>
  <sheetViews>
    <sheetView zoomScaleNormal="100" workbookViewId="0">
      <selection activeCell="G3" sqref="G3"/>
    </sheetView>
  </sheetViews>
  <sheetFormatPr defaultColWidth="8.7109375" defaultRowHeight="15.75"/>
  <cols>
    <col min="1" max="1" width="15.7109375" style="34" customWidth="1"/>
    <col min="2" max="2" width="17.42578125" style="34" customWidth="1"/>
    <col min="3" max="3" width="24.85546875" style="34" customWidth="1"/>
    <col min="4" max="4" width="18.42578125" style="34" customWidth="1"/>
    <col min="5" max="5" width="13.7109375" style="34" customWidth="1"/>
    <col min="6" max="6" width="13.5703125" style="34" customWidth="1"/>
    <col min="7" max="7" width="43.140625" style="34" customWidth="1"/>
    <col min="8" max="16384" width="8.7109375" style="34"/>
  </cols>
  <sheetData>
    <row r="1" spans="1:7">
      <c r="A1" s="149" t="s">
        <v>307</v>
      </c>
      <c r="B1" s="1093"/>
      <c r="C1" s="1093"/>
      <c r="D1" s="1093"/>
      <c r="E1" s="1093"/>
      <c r="F1" s="148" t="s">
        <v>308</v>
      </c>
      <c r="G1" s="1093" t="s">
        <v>309</v>
      </c>
    </row>
    <row r="2" spans="1:7" ht="31.5" customHeight="1">
      <c r="A2" s="646" t="s">
        <v>310</v>
      </c>
      <c r="B2" s="647" t="s">
        <v>311</v>
      </c>
      <c r="C2" s="647" t="s">
        <v>312</v>
      </c>
      <c r="D2" s="647" t="s">
        <v>313</v>
      </c>
      <c r="E2" s="647" t="s">
        <v>314</v>
      </c>
      <c r="F2" s="647" t="s">
        <v>315</v>
      </c>
      <c r="G2" s="648" t="s">
        <v>316</v>
      </c>
    </row>
    <row r="3" spans="1:7" ht="52.5" customHeight="1">
      <c r="A3" s="1085" t="s">
        <v>317</v>
      </c>
      <c r="B3" s="1047" t="s">
        <v>318</v>
      </c>
      <c r="C3" s="1047" t="s">
        <v>319</v>
      </c>
      <c r="D3" s="1047" t="s">
        <v>320</v>
      </c>
      <c r="E3" s="1047" t="s">
        <v>321</v>
      </c>
      <c r="F3" s="1047" t="s">
        <v>322</v>
      </c>
      <c r="G3" s="649" t="s">
        <v>323</v>
      </c>
    </row>
    <row r="4" spans="1:7" ht="69" customHeight="1">
      <c r="A4" s="1085" t="s">
        <v>324</v>
      </c>
      <c r="B4" s="1047" t="s">
        <v>261</v>
      </c>
      <c r="C4" s="1047" t="s">
        <v>325</v>
      </c>
      <c r="D4" s="1047" t="s">
        <v>326</v>
      </c>
      <c r="E4" s="1047" t="s">
        <v>327</v>
      </c>
      <c r="F4" s="1097">
        <v>44575</v>
      </c>
      <c r="G4" s="1098"/>
    </row>
    <row r="5" spans="1:7" ht="16.350000000000001" customHeight="1">
      <c r="A5" s="1085" t="s">
        <v>243</v>
      </c>
      <c r="B5" s="1047" t="s">
        <v>328</v>
      </c>
      <c r="C5" s="1047" t="s">
        <v>296</v>
      </c>
      <c r="D5" s="1047"/>
      <c r="E5" s="1047"/>
      <c r="F5" s="1047"/>
      <c r="G5" s="1098"/>
    </row>
    <row r="6" spans="1:7" ht="31.5">
      <c r="A6" s="1088" t="s">
        <v>243</v>
      </c>
      <c r="B6" s="1052" t="s">
        <v>329</v>
      </c>
      <c r="C6" s="1052" t="s">
        <v>296</v>
      </c>
      <c r="D6" s="1052"/>
      <c r="E6" s="1052"/>
      <c r="F6" s="1052"/>
      <c r="G6" s="1099"/>
    </row>
    <row r="11" spans="1:7">
      <c r="A11" s="707"/>
      <c r="B11" s="707"/>
      <c r="C11" s="707"/>
      <c r="D11" s="707"/>
      <c r="E11" s="1077"/>
      <c r="F11" s="707"/>
      <c r="G11" s="707"/>
    </row>
  </sheetData>
  <pageMargins left="0.70866141732283472" right="0.70866141732283472" top="0.74803149606299213" bottom="0.74803149606299213" header="0.31496062992125984" footer="0.31496062992125984"/>
  <pageSetup paperSize="9" scale="89" orientation="landscape" horizontalDpi="0" verticalDpi="0"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05CE9-8BD1-A544-9839-1D1E97FDDA92}">
  <sheetPr>
    <pageSetUpPr fitToPage="1"/>
  </sheetPr>
  <dimension ref="A1:Z16"/>
  <sheetViews>
    <sheetView zoomScaleNormal="100" workbookViewId="0">
      <selection activeCell="R4" sqref="R4"/>
    </sheetView>
  </sheetViews>
  <sheetFormatPr defaultColWidth="8.7109375" defaultRowHeight="15"/>
  <cols>
    <col min="1" max="1" width="7.42578125" style="9" customWidth="1"/>
    <col min="2" max="2" width="10.5703125" style="934" customWidth="1"/>
    <col min="3" max="3" width="11" style="935" customWidth="1"/>
    <col min="4" max="4" width="17.140625" style="935" customWidth="1"/>
    <col min="5" max="5" width="14.7109375" style="935" customWidth="1"/>
    <col min="6" max="6" width="7.5703125" style="9" customWidth="1"/>
    <col min="7" max="7" width="11.140625" style="9" customWidth="1"/>
    <col min="8" max="8" width="8.5703125" style="9" bestFit="1" customWidth="1"/>
    <col min="9" max="9" width="11" style="935" bestFit="1" customWidth="1"/>
    <col min="10" max="10" width="10.42578125" style="934" bestFit="1" customWidth="1"/>
    <col min="11" max="11" width="20.7109375" style="935" customWidth="1"/>
    <col min="12" max="12" width="13.28515625" style="934" customWidth="1"/>
    <col min="13" max="13" width="7.28515625" style="9" bestFit="1" customWidth="1"/>
    <col min="14" max="17" width="8.7109375" style="9"/>
    <col min="18" max="18" width="31.5703125" style="9" customWidth="1"/>
    <col min="19" max="19" width="8.7109375" style="9"/>
    <col min="20" max="20" width="8.42578125" style="9" bestFit="1" customWidth="1"/>
    <col min="21" max="21" width="12.85546875" style="9" customWidth="1"/>
    <col min="22" max="22" width="10" style="9" customWidth="1"/>
    <col min="23" max="23" width="6.28515625" style="9" bestFit="1" customWidth="1"/>
    <col min="24" max="24" width="9.28515625" style="9" customWidth="1"/>
    <col min="25" max="25" width="7.28515625" style="9" bestFit="1" customWidth="1"/>
    <col min="26" max="26" width="7.5703125" style="9" bestFit="1" customWidth="1"/>
    <col min="27" max="16384" width="8.7109375" style="9"/>
  </cols>
  <sheetData>
    <row r="1" spans="1:26" ht="15.75">
      <c r="A1" s="656" t="s">
        <v>330</v>
      </c>
    </row>
    <row r="2" spans="1:26">
      <c r="A2" s="28" t="s">
        <v>331</v>
      </c>
      <c r="B2" s="657"/>
      <c r="C2" s="936"/>
      <c r="D2" s="936"/>
      <c r="E2" s="936"/>
      <c r="F2" s="937"/>
      <c r="G2" s="937"/>
      <c r="H2" s="937"/>
      <c r="I2" s="937"/>
      <c r="J2" s="937"/>
      <c r="K2" s="937"/>
      <c r="L2" s="937"/>
      <c r="N2" s="28" t="s">
        <v>332</v>
      </c>
      <c r="O2" s="28"/>
      <c r="P2" s="28"/>
      <c r="Q2" s="28"/>
      <c r="R2" s="28"/>
      <c r="S2" s="28"/>
      <c r="T2" s="28"/>
      <c r="U2" s="28"/>
      <c r="V2" s="28"/>
      <c r="W2" s="28"/>
      <c r="X2" s="28"/>
      <c r="Y2" s="28"/>
      <c r="Z2" s="28"/>
    </row>
    <row r="3" spans="1:26" ht="30">
      <c r="A3" s="650" t="s">
        <v>333</v>
      </c>
      <c r="B3" s="651" t="s">
        <v>334</v>
      </c>
      <c r="C3" s="652" t="s">
        <v>335</v>
      </c>
      <c r="D3" s="652" t="s">
        <v>250</v>
      </c>
      <c r="E3" s="652" t="s">
        <v>180</v>
      </c>
      <c r="F3" s="653" t="s">
        <v>336</v>
      </c>
      <c r="G3" s="654" t="s">
        <v>337</v>
      </c>
      <c r="H3" s="659" t="s">
        <v>338</v>
      </c>
      <c r="I3" s="652" t="s">
        <v>183</v>
      </c>
      <c r="J3" s="651" t="s">
        <v>339</v>
      </c>
      <c r="K3" s="652" t="s">
        <v>340</v>
      </c>
      <c r="L3" s="655" t="s">
        <v>341</v>
      </c>
      <c r="N3" s="651" t="s">
        <v>342</v>
      </c>
      <c r="O3" s="651" t="s">
        <v>343</v>
      </c>
      <c r="P3" s="651" t="s">
        <v>344</v>
      </c>
      <c r="Q3" s="651" t="s">
        <v>345</v>
      </c>
      <c r="R3" s="954" t="s">
        <v>346</v>
      </c>
      <c r="S3" s="674" t="s">
        <v>347</v>
      </c>
      <c r="T3" s="672" t="s">
        <v>348</v>
      </c>
      <c r="U3" s="673" t="s">
        <v>169</v>
      </c>
      <c r="V3" s="673" t="s">
        <v>349</v>
      </c>
      <c r="W3" s="673" t="s">
        <v>195</v>
      </c>
      <c r="X3" s="673" t="s">
        <v>350</v>
      </c>
      <c r="Y3" s="673" t="s">
        <v>351</v>
      </c>
      <c r="Z3" s="673" t="s">
        <v>352</v>
      </c>
    </row>
    <row r="4" spans="1:26" ht="60">
      <c r="A4" s="660" t="s">
        <v>229</v>
      </c>
      <c r="B4" s="661" t="s">
        <v>150</v>
      </c>
      <c r="C4" s="662" t="s">
        <v>353</v>
      </c>
      <c r="D4" s="662" t="s">
        <v>354</v>
      </c>
      <c r="E4" s="662" t="s">
        <v>355</v>
      </c>
      <c r="F4" s="938">
        <v>3</v>
      </c>
      <c r="G4" s="939">
        <v>3</v>
      </c>
      <c r="H4" s="940">
        <f>F4*G4</f>
        <v>9</v>
      </c>
      <c r="I4" s="663" t="s">
        <v>356</v>
      </c>
      <c r="J4" s="664" t="s">
        <v>150</v>
      </c>
      <c r="K4" s="663" t="s">
        <v>357</v>
      </c>
      <c r="L4" s="665" t="s">
        <v>150</v>
      </c>
      <c r="N4" s="9" t="s">
        <v>358</v>
      </c>
      <c r="O4" s="9" t="s">
        <v>359</v>
      </c>
      <c r="P4" s="941" t="s">
        <v>360</v>
      </c>
      <c r="Q4" s="942" t="s">
        <v>150</v>
      </c>
      <c r="R4" s="943" t="s">
        <v>361</v>
      </c>
      <c r="S4" s="944" t="s">
        <v>186</v>
      </c>
      <c r="T4" s="945" t="s">
        <v>186</v>
      </c>
      <c r="U4" s="946" t="s">
        <v>186</v>
      </c>
      <c r="V4" s="946" t="s">
        <v>186</v>
      </c>
      <c r="W4" s="946" t="s">
        <v>186</v>
      </c>
      <c r="X4" s="946" t="s">
        <v>186</v>
      </c>
      <c r="Y4" s="946" t="s">
        <v>186</v>
      </c>
      <c r="Z4" s="947" t="s">
        <v>186</v>
      </c>
    </row>
    <row r="5" spans="1:26">
      <c r="A5" s="666" t="s">
        <v>229</v>
      </c>
      <c r="B5" s="667" t="s">
        <v>150</v>
      </c>
      <c r="C5" s="668" t="s">
        <v>296</v>
      </c>
      <c r="D5" s="668" t="s">
        <v>296</v>
      </c>
      <c r="E5" s="668" t="s">
        <v>296</v>
      </c>
      <c r="F5" s="908" t="s">
        <v>229</v>
      </c>
      <c r="G5" s="914" t="s">
        <v>229</v>
      </c>
      <c r="H5" s="948" t="e">
        <f t="shared" ref="H5:H8" si="0">F5*G5</f>
        <v>#VALUE!</v>
      </c>
      <c r="I5" s="669" t="s">
        <v>296</v>
      </c>
      <c r="J5" s="670" t="s">
        <v>150</v>
      </c>
      <c r="K5" s="669"/>
      <c r="L5" s="671" t="s">
        <v>150</v>
      </c>
      <c r="N5" s="9" t="s">
        <v>362</v>
      </c>
      <c r="O5" s="9" t="s">
        <v>363</v>
      </c>
      <c r="P5" s="941" t="s">
        <v>364</v>
      </c>
      <c r="Q5" s="942" t="s">
        <v>150</v>
      </c>
      <c r="R5" s="949" t="s">
        <v>361</v>
      </c>
      <c r="S5" s="950" t="s">
        <v>184</v>
      </c>
      <c r="T5" s="951" t="s">
        <v>186</v>
      </c>
      <c r="U5" s="952" t="s">
        <v>186</v>
      </c>
      <c r="V5" s="952" t="s">
        <v>185</v>
      </c>
      <c r="W5" s="952" t="s">
        <v>186</v>
      </c>
      <c r="X5" s="952" t="s">
        <v>184</v>
      </c>
      <c r="Y5" s="952" t="s">
        <v>186</v>
      </c>
      <c r="Z5" s="953" t="s">
        <v>185</v>
      </c>
    </row>
    <row r="6" spans="1:26">
      <c r="A6" s="666" t="s">
        <v>229</v>
      </c>
      <c r="B6" s="667" t="s">
        <v>150</v>
      </c>
      <c r="C6" s="668" t="s">
        <v>296</v>
      </c>
      <c r="D6" s="668" t="s">
        <v>296</v>
      </c>
      <c r="E6" s="668" t="s">
        <v>296</v>
      </c>
      <c r="F6" s="908" t="s">
        <v>229</v>
      </c>
      <c r="G6" s="914" t="s">
        <v>229</v>
      </c>
      <c r="H6" s="948" t="e">
        <f t="shared" si="0"/>
        <v>#VALUE!</v>
      </c>
      <c r="I6" s="669" t="s">
        <v>296</v>
      </c>
      <c r="J6" s="670" t="s">
        <v>150</v>
      </c>
      <c r="K6" s="669"/>
      <c r="L6" s="671" t="s">
        <v>150</v>
      </c>
      <c r="N6" s="9" t="s">
        <v>365</v>
      </c>
      <c r="O6" s="9" t="s">
        <v>366</v>
      </c>
      <c r="P6" s="941" t="s">
        <v>367</v>
      </c>
      <c r="Q6" s="942" t="s">
        <v>150</v>
      </c>
      <c r="R6" s="949" t="s">
        <v>361</v>
      </c>
      <c r="S6" s="950" t="s">
        <v>186</v>
      </c>
      <c r="T6" s="951" t="s">
        <v>186</v>
      </c>
      <c r="U6" s="952" t="s">
        <v>186</v>
      </c>
      <c r="V6" s="952" t="s">
        <v>186</v>
      </c>
      <c r="W6" s="952" t="s">
        <v>185</v>
      </c>
      <c r="X6" s="952" t="s">
        <v>186</v>
      </c>
      <c r="Y6" s="952" t="s">
        <v>186</v>
      </c>
      <c r="Z6" s="953" t="s">
        <v>186</v>
      </c>
    </row>
    <row r="7" spans="1:26">
      <c r="A7" s="666" t="s">
        <v>229</v>
      </c>
      <c r="B7" s="667" t="s">
        <v>150</v>
      </c>
      <c r="C7" s="668" t="s">
        <v>296</v>
      </c>
      <c r="D7" s="668" t="s">
        <v>296</v>
      </c>
      <c r="E7" s="668" t="s">
        <v>296</v>
      </c>
      <c r="F7" s="908" t="s">
        <v>229</v>
      </c>
      <c r="G7" s="914" t="s">
        <v>229</v>
      </c>
      <c r="H7" s="948" t="e">
        <f t="shared" si="0"/>
        <v>#VALUE!</v>
      </c>
      <c r="I7" s="669" t="s">
        <v>296</v>
      </c>
      <c r="J7" s="670" t="s">
        <v>150</v>
      </c>
      <c r="K7" s="669"/>
      <c r="L7" s="671" t="s">
        <v>150</v>
      </c>
      <c r="N7" s="9" t="s">
        <v>368</v>
      </c>
      <c r="O7" s="9" t="s">
        <v>369</v>
      </c>
      <c r="P7" s="941" t="s">
        <v>370</v>
      </c>
      <c r="Q7" s="942" t="s">
        <v>150</v>
      </c>
      <c r="R7" s="949" t="s">
        <v>361</v>
      </c>
      <c r="S7" s="950" t="s">
        <v>185</v>
      </c>
      <c r="T7" s="951" t="s">
        <v>186</v>
      </c>
      <c r="U7" s="952" t="s">
        <v>185</v>
      </c>
      <c r="V7" s="952" t="s">
        <v>186</v>
      </c>
      <c r="W7" s="952" t="s">
        <v>186</v>
      </c>
      <c r="X7" s="952" t="s">
        <v>185</v>
      </c>
      <c r="Y7" s="952" t="s">
        <v>186</v>
      </c>
      <c r="Z7" s="953" t="s">
        <v>186</v>
      </c>
    </row>
    <row r="8" spans="1:26">
      <c r="A8" s="666" t="s">
        <v>229</v>
      </c>
      <c r="B8" s="667" t="s">
        <v>150</v>
      </c>
      <c r="C8" s="668" t="s">
        <v>296</v>
      </c>
      <c r="D8" s="668" t="s">
        <v>296</v>
      </c>
      <c r="E8" s="668" t="s">
        <v>296</v>
      </c>
      <c r="F8" s="908" t="s">
        <v>229</v>
      </c>
      <c r="G8" s="914" t="s">
        <v>229</v>
      </c>
      <c r="H8" s="948" t="e">
        <f t="shared" si="0"/>
        <v>#VALUE!</v>
      </c>
      <c r="I8" s="669" t="s">
        <v>296</v>
      </c>
      <c r="J8" s="670" t="s">
        <v>150</v>
      </c>
      <c r="K8" s="669"/>
      <c r="L8" s="671" t="s">
        <v>150</v>
      </c>
      <c r="O8" s="934"/>
      <c r="P8" s="935"/>
      <c r="Q8" s="935"/>
      <c r="R8" s="935"/>
      <c r="V8" s="935"/>
      <c r="W8" s="934"/>
      <c r="X8" s="935"/>
      <c r="Y8" s="934"/>
    </row>
    <row r="9" spans="1:26">
      <c r="A9" s="666" t="s">
        <v>229</v>
      </c>
      <c r="B9" s="667" t="s">
        <v>150</v>
      </c>
      <c r="C9" s="668" t="s">
        <v>296</v>
      </c>
      <c r="D9" s="668" t="s">
        <v>296</v>
      </c>
      <c r="E9" s="668" t="s">
        <v>296</v>
      </c>
      <c r="F9" s="908" t="s">
        <v>229</v>
      </c>
      <c r="G9" s="914" t="s">
        <v>229</v>
      </c>
      <c r="H9" s="948" t="e">
        <f>F9*G9</f>
        <v>#VALUE!</v>
      </c>
      <c r="I9" s="669" t="s">
        <v>296</v>
      </c>
      <c r="J9" s="670" t="s">
        <v>150</v>
      </c>
      <c r="K9" s="669"/>
      <c r="L9" s="671" t="s">
        <v>150</v>
      </c>
    </row>
    <row r="11" spans="1:26">
      <c r="E11" s="1016"/>
    </row>
    <row r="13" spans="1:26" ht="31.5" customHeight="1"/>
    <row r="16" spans="1:26" ht="15" customHeight="1"/>
  </sheetData>
  <conditionalFormatting sqref="S4:Z7">
    <cfRule type="cellIs" dxfId="10" priority="1" stopIfTrue="1" operator="equal">
      <formula>"G"</formula>
    </cfRule>
    <cfRule type="cellIs" dxfId="9" priority="2" stopIfTrue="1" operator="equal">
      <formula>"A"</formula>
    </cfRule>
    <cfRule type="cellIs" dxfId="8" priority="3" stopIfTrue="1" operator="equal">
      <formula>"R"</formula>
    </cfRule>
  </conditionalFormatting>
  <pageMargins left="0.70866141732283472" right="0.70866141732283472" top="0.74803149606299213" bottom="0.74803149606299213" header="0.31496062992125984" footer="0.31496062992125984"/>
  <pageSetup paperSize="9" scale="90" fitToWidth="2" orientation="landscape" horizontalDpi="0" verticalDpi="0"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FA35A-CA1A-454B-B077-21703B1BA0A9}">
  <sheetPr>
    <pageSetUpPr fitToPage="1"/>
  </sheetPr>
  <dimension ref="A1:AE44"/>
  <sheetViews>
    <sheetView zoomScale="55" zoomScaleNormal="55" workbookViewId="0">
      <pane xSplit="1" ySplit="4" topLeftCell="B5" activePane="bottomRight" state="frozen"/>
      <selection pane="bottomRight" activeCell="A35" sqref="A35"/>
      <selection pane="bottomLeft" activeCell="AA21" sqref="AA21"/>
      <selection pane="topRight" activeCell="AA21" sqref="AA21"/>
    </sheetView>
  </sheetViews>
  <sheetFormatPr defaultColWidth="8.7109375" defaultRowHeight="15.75" outlineLevelRow="1"/>
  <cols>
    <col min="1" max="1" width="53.7109375" style="34" customWidth="1"/>
    <col min="2" max="2" width="6.28515625" style="35" customWidth="1"/>
    <col min="3" max="3" width="10.28515625" style="35" bestFit="1" customWidth="1"/>
    <col min="4" max="4" width="7.28515625" style="34" bestFit="1" customWidth="1"/>
    <col min="5" max="31" width="6.42578125" style="34" customWidth="1"/>
    <col min="32" max="16384" width="8.7109375" style="34"/>
  </cols>
  <sheetData>
    <row r="1" spans="1:31">
      <c r="A1" s="107" t="s">
        <v>216</v>
      </c>
      <c r="B1" s="707"/>
      <c r="C1" s="707"/>
      <c r="D1" s="707"/>
      <c r="E1" s="707"/>
      <c r="F1" s="707"/>
      <c r="G1" s="707"/>
      <c r="H1" s="707"/>
      <c r="I1" s="707"/>
      <c r="J1" s="707"/>
      <c r="K1" s="707"/>
      <c r="L1" s="707"/>
      <c r="M1" s="707"/>
      <c r="N1" s="707"/>
      <c r="O1" s="103"/>
      <c r="P1" s="33"/>
      <c r="Q1" s="707"/>
      <c r="R1" s="707"/>
      <c r="S1" s="707"/>
      <c r="T1" s="707"/>
      <c r="U1" s="707"/>
      <c r="V1" s="707"/>
      <c r="W1" s="707"/>
      <c r="X1" s="707"/>
      <c r="Y1" s="707"/>
      <c r="Z1" s="707"/>
      <c r="AA1" s="707"/>
      <c r="AB1" s="707"/>
      <c r="AC1" s="707"/>
      <c r="AD1" s="707"/>
      <c r="AE1" s="707"/>
    </row>
    <row r="2" spans="1:31" ht="7.15" customHeight="1" thickBot="1">
      <c r="A2" s="107"/>
      <c r="B2" s="707"/>
      <c r="C2" s="707"/>
      <c r="D2" s="707"/>
      <c r="E2" s="707"/>
      <c r="F2" s="707"/>
      <c r="G2" s="707"/>
      <c r="H2" s="707"/>
      <c r="I2" s="707"/>
      <c r="J2" s="707"/>
      <c r="K2" s="707"/>
      <c r="L2" s="707"/>
      <c r="M2" s="707"/>
      <c r="N2" s="707"/>
      <c r="O2" s="707"/>
      <c r="P2" s="707"/>
      <c r="Q2" s="707"/>
      <c r="R2" s="707"/>
      <c r="S2" s="707"/>
      <c r="T2" s="707"/>
      <c r="U2" s="707"/>
      <c r="V2" s="707"/>
      <c r="W2" s="707"/>
      <c r="X2" s="707"/>
      <c r="Y2" s="707"/>
      <c r="Z2" s="707"/>
      <c r="AA2" s="707"/>
      <c r="AB2" s="707"/>
      <c r="AC2" s="707"/>
      <c r="AD2" s="707"/>
      <c r="AE2" s="707"/>
    </row>
    <row r="3" spans="1:31" s="36" customFormat="1">
      <c r="A3" s="107" t="s">
        <v>309</v>
      </c>
      <c r="B3" s="1261" t="s">
        <v>371</v>
      </c>
      <c r="C3" s="1263" t="s">
        <v>372</v>
      </c>
      <c r="D3" s="1255" t="s">
        <v>373</v>
      </c>
      <c r="E3" s="1256"/>
      <c r="F3" s="1256"/>
      <c r="G3" s="1256"/>
      <c r="H3" s="1257"/>
      <c r="I3" s="1258" t="s">
        <v>374</v>
      </c>
      <c r="J3" s="1256"/>
      <c r="K3" s="1256"/>
      <c r="L3" s="1259"/>
      <c r="M3" s="1260" t="s">
        <v>375</v>
      </c>
      <c r="N3" s="1256"/>
      <c r="O3" s="1256"/>
      <c r="P3" s="1256"/>
      <c r="Q3" s="151"/>
      <c r="R3" s="1255" t="s">
        <v>376</v>
      </c>
      <c r="S3" s="1256"/>
      <c r="T3" s="1256"/>
      <c r="U3" s="1256"/>
      <c r="V3" s="1257"/>
      <c r="W3" s="1258" t="s">
        <v>377</v>
      </c>
      <c r="X3" s="1256"/>
      <c r="Y3" s="1256"/>
      <c r="Z3" s="1259"/>
      <c r="AA3" s="1260" t="s">
        <v>378</v>
      </c>
      <c r="AB3" s="1256"/>
      <c r="AC3" s="1256"/>
      <c r="AD3" s="1256"/>
      <c r="AE3" s="151"/>
    </row>
    <row r="4" spans="1:31" s="103" customFormat="1" ht="16.5" thickBot="1">
      <c r="A4" s="152"/>
      <c r="B4" s="1262"/>
      <c r="C4" s="1264"/>
      <c r="D4" s="153">
        <v>45078</v>
      </c>
      <c r="E4" s="154">
        <f>D4+7</f>
        <v>45085</v>
      </c>
      <c r="F4" s="154">
        <f t="shared" ref="F4:R4" si="0">E4+7</f>
        <v>45092</v>
      </c>
      <c r="G4" s="154">
        <f t="shared" si="0"/>
        <v>45099</v>
      </c>
      <c r="H4" s="155">
        <f t="shared" si="0"/>
        <v>45106</v>
      </c>
      <c r="I4" s="156">
        <f t="shared" si="0"/>
        <v>45113</v>
      </c>
      <c r="J4" s="154">
        <f t="shared" si="0"/>
        <v>45120</v>
      </c>
      <c r="K4" s="154">
        <f t="shared" si="0"/>
        <v>45127</v>
      </c>
      <c r="L4" s="157">
        <f t="shared" si="0"/>
        <v>45134</v>
      </c>
      <c r="M4" s="158">
        <f t="shared" si="0"/>
        <v>45141</v>
      </c>
      <c r="N4" s="154">
        <f t="shared" si="0"/>
        <v>45148</v>
      </c>
      <c r="O4" s="154">
        <f t="shared" si="0"/>
        <v>45155</v>
      </c>
      <c r="P4" s="154">
        <f t="shared" si="0"/>
        <v>45162</v>
      </c>
      <c r="Q4" s="159">
        <f t="shared" si="0"/>
        <v>45169</v>
      </c>
      <c r="R4" s="153">
        <f t="shared" si="0"/>
        <v>45176</v>
      </c>
      <c r="S4" s="154">
        <f>R4+7</f>
        <v>45183</v>
      </c>
      <c r="T4" s="154">
        <f t="shared" ref="T4:AE4" si="1">S4+7</f>
        <v>45190</v>
      </c>
      <c r="U4" s="154">
        <f t="shared" si="1"/>
        <v>45197</v>
      </c>
      <c r="V4" s="155">
        <f t="shared" si="1"/>
        <v>45204</v>
      </c>
      <c r="W4" s="156">
        <f t="shared" si="1"/>
        <v>45211</v>
      </c>
      <c r="X4" s="154">
        <f t="shared" si="1"/>
        <v>45218</v>
      </c>
      <c r="Y4" s="154">
        <f t="shared" si="1"/>
        <v>45225</v>
      </c>
      <c r="Z4" s="157">
        <f t="shared" si="1"/>
        <v>45232</v>
      </c>
      <c r="AA4" s="158">
        <f t="shared" si="1"/>
        <v>45239</v>
      </c>
      <c r="AB4" s="154">
        <f t="shared" si="1"/>
        <v>45246</v>
      </c>
      <c r="AC4" s="154">
        <f t="shared" si="1"/>
        <v>45253</v>
      </c>
      <c r="AD4" s="154">
        <f t="shared" si="1"/>
        <v>45260</v>
      </c>
      <c r="AE4" s="159">
        <f t="shared" si="1"/>
        <v>45267</v>
      </c>
    </row>
    <row r="5" spans="1:31" s="161" customFormat="1">
      <c r="A5" s="696" t="s">
        <v>367</v>
      </c>
      <c r="B5" s="160"/>
      <c r="C5" s="171"/>
      <c r="D5" s="1100"/>
      <c r="E5" s="1101"/>
      <c r="F5" s="1101"/>
      <c r="G5" s="1102"/>
      <c r="H5" s="1102"/>
      <c r="I5" s="1103"/>
      <c r="J5" s="1102"/>
      <c r="K5" s="1102"/>
      <c r="L5" s="1104"/>
      <c r="M5" s="1102"/>
      <c r="N5" s="1102"/>
      <c r="O5" s="1102"/>
      <c r="P5" s="1102"/>
      <c r="Q5" s="1105"/>
      <c r="R5" s="1106"/>
      <c r="S5" s="1102"/>
      <c r="T5" s="1102"/>
      <c r="U5" s="1102"/>
      <c r="V5" s="1102"/>
      <c r="W5" s="1103"/>
      <c r="X5" s="1102"/>
      <c r="Y5" s="1102"/>
      <c r="Z5" s="1104"/>
      <c r="AA5" s="1102"/>
      <c r="AB5" s="1102"/>
      <c r="AC5" s="1102"/>
      <c r="AD5" s="1102"/>
      <c r="AE5" s="1105"/>
    </row>
    <row r="6" spans="1:31" s="33" customFormat="1" outlineLevel="1">
      <c r="A6" s="162" t="s">
        <v>379</v>
      </c>
      <c r="B6" s="163"/>
      <c r="C6" s="1107"/>
      <c r="D6" s="1108"/>
      <c r="E6" s="1109"/>
      <c r="F6" s="1109"/>
      <c r="G6" s="1109"/>
      <c r="H6" s="1110"/>
      <c r="I6" s="1111"/>
      <c r="J6" s="1109"/>
      <c r="K6" s="1109"/>
      <c r="L6" s="1112"/>
      <c r="M6" s="1113"/>
      <c r="N6" s="1109"/>
      <c r="O6" s="1109"/>
      <c r="P6" s="1109"/>
      <c r="Q6" s="1114"/>
      <c r="R6" s="1115"/>
      <c r="S6" s="1109"/>
      <c r="T6" s="1109"/>
      <c r="U6" s="1109"/>
      <c r="V6" s="1110"/>
      <c r="W6" s="1111"/>
      <c r="X6" s="1109"/>
      <c r="Y6" s="1109"/>
      <c r="Z6" s="1112"/>
      <c r="AA6" s="1113"/>
      <c r="AB6" s="1109"/>
      <c r="AC6" s="1109"/>
      <c r="AD6" s="1109"/>
      <c r="AE6" s="1114"/>
    </row>
    <row r="7" spans="1:31" s="33" customFormat="1" outlineLevel="1">
      <c r="A7" s="164" t="s">
        <v>380</v>
      </c>
      <c r="B7" s="165"/>
      <c r="C7" s="1116"/>
      <c r="D7" s="1117"/>
      <c r="E7" s="1109"/>
      <c r="F7" s="1109"/>
      <c r="G7" s="1109"/>
      <c r="H7" s="1118"/>
      <c r="I7" s="1119"/>
      <c r="J7" s="1120"/>
      <c r="K7" s="1120"/>
      <c r="L7" s="1121"/>
      <c r="M7" s="1122"/>
      <c r="N7" s="1120"/>
      <c r="O7" s="1120"/>
      <c r="P7" s="1120"/>
      <c r="Q7" s="1123"/>
      <c r="R7" s="1124"/>
      <c r="S7" s="1120"/>
      <c r="T7" s="1120"/>
      <c r="U7" s="1120"/>
      <c r="V7" s="1118"/>
      <c r="W7" s="1119"/>
      <c r="X7" s="1120"/>
      <c r="Y7" s="1120"/>
      <c r="Z7" s="1121"/>
      <c r="AA7" s="1122"/>
      <c r="AB7" s="1120"/>
      <c r="AC7" s="1120"/>
      <c r="AD7" s="1120"/>
      <c r="AE7" s="1123"/>
    </row>
    <row r="8" spans="1:31" s="33" customFormat="1" outlineLevel="1">
      <c r="A8" s="164" t="s">
        <v>381</v>
      </c>
      <c r="B8" s="165"/>
      <c r="C8" s="1116"/>
      <c r="D8" s="1117"/>
      <c r="E8" s="1120"/>
      <c r="F8" s="1120"/>
      <c r="G8" s="1120"/>
      <c r="H8" s="1118"/>
      <c r="I8" s="1119"/>
      <c r="J8" s="1120"/>
      <c r="K8" s="1120"/>
      <c r="L8" s="1121"/>
      <c r="M8" s="1122"/>
      <c r="N8" s="1120"/>
      <c r="O8" s="1120"/>
      <c r="P8" s="1120"/>
      <c r="Q8" s="1123"/>
      <c r="R8" s="1124"/>
      <c r="S8" s="1120"/>
      <c r="T8" s="1120"/>
      <c r="U8" s="1120"/>
      <c r="V8" s="1118"/>
      <c r="W8" s="1119"/>
      <c r="X8" s="1120"/>
      <c r="Y8" s="1120"/>
      <c r="Z8" s="1121"/>
      <c r="AA8" s="1122"/>
      <c r="AB8" s="1120"/>
      <c r="AC8" s="1120"/>
      <c r="AD8" s="1120"/>
      <c r="AE8" s="1123"/>
    </row>
    <row r="9" spans="1:31" s="33" customFormat="1" outlineLevel="1">
      <c r="A9" s="164" t="s">
        <v>382</v>
      </c>
      <c r="B9" s="165"/>
      <c r="C9" s="1116"/>
      <c r="D9" s="1124"/>
      <c r="E9" s="1125"/>
      <c r="F9" s="1120"/>
      <c r="G9" s="1120"/>
      <c r="H9" s="1118"/>
      <c r="I9" s="1119"/>
      <c r="J9" s="1120"/>
      <c r="K9" s="1120"/>
      <c r="L9" s="1121"/>
      <c r="M9" s="1122"/>
      <c r="N9" s="1120"/>
      <c r="O9" s="1120"/>
      <c r="P9" s="1120"/>
      <c r="Q9" s="1123"/>
      <c r="R9" s="1124"/>
      <c r="S9" s="1120"/>
      <c r="T9" s="1120"/>
      <c r="U9" s="1120"/>
      <c r="V9" s="1118"/>
      <c r="W9" s="1119"/>
      <c r="X9" s="1120"/>
      <c r="Y9" s="1120"/>
      <c r="Z9" s="1121"/>
      <c r="AA9" s="1122"/>
      <c r="AB9" s="1120"/>
      <c r="AC9" s="1120"/>
      <c r="AD9" s="1120"/>
      <c r="AE9" s="1123"/>
    </row>
    <row r="10" spans="1:31" s="33" customFormat="1" outlineLevel="1">
      <c r="A10" s="164" t="s">
        <v>383</v>
      </c>
      <c r="B10" s="165"/>
      <c r="C10" s="1116"/>
      <c r="D10" s="1124"/>
      <c r="E10" s="1125"/>
      <c r="F10" s="1125"/>
      <c r="G10" s="1120"/>
      <c r="H10" s="1118"/>
      <c r="I10" s="1119"/>
      <c r="J10" s="1120"/>
      <c r="K10" s="1120"/>
      <c r="L10" s="1121"/>
      <c r="M10" s="1122"/>
      <c r="N10" s="1120"/>
      <c r="O10" s="1120"/>
      <c r="P10" s="1120"/>
      <c r="Q10" s="1123"/>
      <c r="R10" s="1124"/>
      <c r="S10" s="1120"/>
      <c r="T10" s="1120"/>
      <c r="U10" s="1120"/>
      <c r="V10" s="1118"/>
      <c r="W10" s="1119"/>
      <c r="X10" s="1120"/>
      <c r="Y10" s="1120"/>
      <c r="Z10" s="1121"/>
      <c r="AA10" s="1122"/>
      <c r="AB10" s="1120"/>
      <c r="AC10" s="1120"/>
      <c r="AD10" s="1120"/>
      <c r="AE10" s="1123"/>
    </row>
    <row r="11" spans="1:31" s="33" customFormat="1" outlineLevel="1">
      <c r="A11" s="166" t="s">
        <v>384</v>
      </c>
      <c r="B11" s="167"/>
      <c r="C11" s="1126"/>
      <c r="D11" s="1127"/>
      <c r="E11" s="1128"/>
      <c r="F11" s="1129"/>
      <c r="G11" s="1129"/>
      <c r="H11" s="1130"/>
      <c r="I11" s="1131"/>
      <c r="J11" s="1129"/>
      <c r="K11" s="1129"/>
      <c r="L11" s="1132"/>
      <c r="M11" s="1133"/>
      <c r="N11" s="1129"/>
      <c r="O11" s="1129"/>
      <c r="P11" s="1129"/>
      <c r="Q11" s="1134"/>
      <c r="R11" s="1127"/>
      <c r="S11" s="1129"/>
      <c r="T11" s="1129"/>
      <c r="U11" s="1129"/>
      <c r="V11" s="1130"/>
      <c r="W11" s="1131"/>
      <c r="X11" s="1129"/>
      <c r="Y11" s="1129"/>
      <c r="Z11" s="1132"/>
      <c r="AA11" s="1133"/>
      <c r="AB11" s="1129"/>
      <c r="AC11" s="1129"/>
      <c r="AD11" s="1129"/>
      <c r="AE11" s="1134"/>
    </row>
    <row r="12" spans="1:31" s="33" customFormat="1" outlineLevel="1">
      <c r="A12" s="166" t="s">
        <v>385</v>
      </c>
      <c r="B12" s="167"/>
      <c r="C12" s="1126"/>
      <c r="D12" s="1127"/>
      <c r="E12" s="1129"/>
      <c r="F12" s="1135"/>
      <c r="G12" s="1129"/>
      <c r="H12" s="1130"/>
      <c r="I12" s="1131"/>
      <c r="J12" s="1129"/>
      <c r="K12" s="1129"/>
      <c r="L12" s="1132"/>
      <c r="M12" s="1133"/>
      <c r="N12" s="1129"/>
      <c r="O12" s="1129"/>
      <c r="P12" s="1129"/>
      <c r="Q12" s="1134"/>
      <c r="R12" s="1127"/>
      <c r="S12" s="1129"/>
      <c r="T12" s="1129"/>
      <c r="U12" s="1129"/>
      <c r="V12" s="1130"/>
      <c r="W12" s="1131"/>
      <c r="X12" s="1129"/>
      <c r="Y12" s="1129"/>
      <c r="Z12" s="1132"/>
      <c r="AA12" s="1133"/>
      <c r="AB12" s="1129"/>
      <c r="AC12" s="1129"/>
      <c r="AD12" s="1129"/>
      <c r="AE12" s="1134"/>
    </row>
    <row r="13" spans="1:31" s="161" customFormat="1" ht="16.5" outlineLevel="1" thickBot="1">
      <c r="A13" s="675" t="s">
        <v>386</v>
      </c>
      <c r="B13" s="676"/>
      <c r="C13" s="677" t="s">
        <v>387</v>
      </c>
      <c r="D13" s="678"/>
      <c r="E13" s="679"/>
      <c r="F13" s="701"/>
      <c r="G13" s="680"/>
      <c r="H13" s="681"/>
      <c r="I13" s="682"/>
      <c r="J13" s="679"/>
      <c r="K13" s="679"/>
      <c r="L13" s="683"/>
      <c r="M13" s="684"/>
      <c r="N13" s="679"/>
      <c r="O13" s="679"/>
      <c r="P13" s="679"/>
      <c r="Q13" s="685"/>
      <c r="R13" s="678"/>
      <c r="S13" s="679"/>
      <c r="T13" s="679"/>
      <c r="U13" s="680"/>
      <c r="V13" s="681"/>
      <c r="W13" s="682"/>
      <c r="X13" s="679"/>
      <c r="Y13" s="679"/>
      <c r="Z13" s="683"/>
      <c r="AA13" s="684"/>
      <c r="AB13" s="679"/>
      <c r="AC13" s="679"/>
      <c r="AD13" s="679"/>
      <c r="AE13" s="685"/>
    </row>
    <row r="14" spans="1:31" s="33" customFormat="1">
      <c r="A14" s="697" t="s">
        <v>388</v>
      </c>
      <c r="B14" s="170"/>
      <c r="C14" s="1136"/>
      <c r="D14" s="1106"/>
      <c r="E14" s="1102"/>
      <c r="F14" s="1102"/>
      <c r="G14" s="1101"/>
      <c r="H14" s="1101"/>
      <c r="I14" s="1137"/>
      <c r="J14" s="1101"/>
      <c r="K14" s="1101"/>
      <c r="L14" s="1138"/>
      <c r="M14" s="1102"/>
      <c r="N14" s="1102"/>
      <c r="O14" s="1102"/>
      <c r="P14" s="1102"/>
      <c r="Q14" s="1105"/>
      <c r="R14" s="1106"/>
      <c r="S14" s="1102"/>
      <c r="T14" s="1102"/>
      <c r="U14" s="1102"/>
      <c r="V14" s="1102"/>
      <c r="W14" s="1103"/>
      <c r="X14" s="1102"/>
      <c r="Y14" s="1102"/>
      <c r="Z14" s="1104"/>
      <c r="AA14" s="1102"/>
      <c r="AB14" s="1102"/>
      <c r="AC14" s="1102"/>
      <c r="AD14" s="1102"/>
      <c r="AE14" s="1105"/>
    </row>
    <row r="15" spans="1:31" s="33" customFormat="1" outlineLevel="1">
      <c r="A15" s="164" t="s">
        <v>389</v>
      </c>
      <c r="B15" s="165"/>
      <c r="C15" s="1116"/>
      <c r="D15" s="1124"/>
      <c r="E15" s="1120"/>
      <c r="F15" s="1120"/>
      <c r="G15" s="1125"/>
      <c r="H15" s="1139"/>
      <c r="I15" s="1119"/>
      <c r="J15" s="1120"/>
      <c r="K15" s="1120"/>
      <c r="L15" s="1121"/>
      <c r="M15" s="1122"/>
      <c r="N15" s="1120"/>
      <c r="O15" s="1120"/>
      <c r="P15" s="1120"/>
      <c r="Q15" s="1123"/>
      <c r="R15" s="1124"/>
      <c r="S15" s="1120"/>
      <c r="T15" s="1120"/>
      <c r="U15" s="1120"/>
      <c r="V15" s="1118"/>
      <c r="W15" s="1119"/>
      <c r="X15" s="1120"/>
      <c r="Y15" s="1120"/>
      <c r="Z15" s="1121"/>
      <c r="AA15" s="1122"/>
      <c r="AB15" s="1120"/>
      <c r="AC15" s="1120"/>
      <c r="AD15" s="1120"/>
      <c r="AE15" s="1123"/>
    </row>
    <row r="16" spans="1:31" s="33" customFormat="1" outlineLevel="1">
      <c r="A16" s="164" t="s">
        <v>390</v>
      </c>
      <c r="B16" s="165"/>
      <c r="C16" s="1116"/>
      <c r="D16" s="1124"/>
      <c r="E16" s="1120"/>
      <c r="F16" s="1120"/>
      <c r="G16" s="1125"/>
      <c r="H16" s="1139"/>
      <c r="I16" s="1119"/>
      <c r="J16" s="1120"/>
      <c r="K16" s="1120"/>
      <c r="L16" s="1121"/>
      <c r="M16" s="1122"/>
      <c r="N16" s="1120"/>
      <c r="O16" s="1120"/>
      <c r="P16" s="1120"/>
      <c r="Q16" s="1123"/>
      <c r="R16" s="1124"/>
      <c r="S16" s="1120"/>
      <c r="T16" s="1120"/>
      <c r="U16" s="1120"/>
      <c r="V16" s="1118"/>
      <c r="W16" s="1119"/>
      <c r="X16" s="1120"/>
      <c r="Y16" s="1120"/>
      <c r="Z16" s="1121"/>
      <c r="AA16" s="1122"/>
      <c r="AB16" s="1120"/>
      <c r="AC16" s="1120"/>
      <c r="AD16" s="1120"/>
      <c r="AE16" s="1123"/>
    </row>
    <row r="17" spans="1:31" s="33" customFormat="1" outlineLevel="1">
      <c r="A17" s="164" t="s">
        <v>391</v>
      </c>
      <c r="B17" s="165"/>
      <c r="C17" s="1116"/>
      <c r="D17" s="1124"/>
      <c r="E17" s="1120"/>
      <c r="F17" s="1120"/>
      <c r="G17" s="1120"/>
      <c r="H17" s="1118"/>
      <c r="I17" s="1140"/>
      <c r="J17" s="1120"/>
      <c r="K17" s="1120"/>
      <c r="L17" s="1121"/>
      <c r="M17" s="1122"/>
      <c r="N17" s="1120"/>
      <c r="O17" s="1120"/>
      <c r="P17" s="1120"/>
      <c r="Q17" s="1123"/>
      <c r="R17" s="1124"/>
      <c r="S17" s="1120"/>
      <c r="T17" s="1120"/>
      <c r="U17" s="1120"/>
      <c r="V17" s="1118"/>
      <c r="W17" s="1119"/>
      <c r="X17" s="1120"/>
      <c r="Y17" s="1120"/>
      <c r="Z17" s="1121"/>
      <c r="AA17" s="1122"/>
      <c r="AB17" s="1120"/>
      <c r="AC17" s="1120"/>
      <c r="AD17" s="1120"/>
      <c r="AE17" s="1123"/>
    </row>
    <row r="18" spans="1:31" s="33" customFormat="1" outlineLevel="1">
      <c r="A18" s="164" t="s">
        <v>392</v>
      </c>
      <c r="B18" s="165"/>
      <c r="C18" s="1116" t="s">
        <v>393</v>
      </c>
      <c r="D18" s="1124"/>
      <c r="E18" s="1120"/>
      <c r="F18" s="1120"/>
      <c r="G18" s="1120"/>
      <c r="H18" s="1118"/>
      <c r="I18" s="1140"/>
      <c r="J18" s="1120"/>
      <c r="K18" s="1120"/>
      <c r="L18" s="1121"/>
      <c r="M18" s="1122"/>
      <c r="N18" s="1120"/>
      <c r="O18" s="1120"/>
      <c r="P18" s="1120"/>
      <c r="Q18" s="1123"/>
      <c r="R18" s="1124"/>
      <c r="S18" s="1120"/>
      <c r="T18" s="1120"/>
      <c r="U18" s="1120"/>
      <c r="V18" s="1118"/>
      <c r="W18" s="1119"/>
      <c r="X18" s="1120"/>
      <c r="Y18" s="1120"/>
      <c r="Z18" s="1121"/>
      <c r="AA18" s="1122"/>
      <c r="AB18" s="1120"/>
      <c r="AC18" s="1120"/>
      <c r="AD18" s="1120"/>
      <c r="AE18" s="1123"/>
    </row>
    <row r="19" spans="1:31" s="33" customFormat="1" outlineLevel="1">
      <c r="A19" s="164" t="s">
        <v>394</v>
      </c>
      <c r="B19" s="165"/>
      <c r="C19" s="1116"/>
      <c r="D19" s="1124"/>
      <c r="E19" s="1120"/>
      <c r="F19" s="1120"/>
      <c r="G19" s="1120"/>
      <c r="H19" s="1118"/>
      <c r="I19" s="1119"/>
      <c r="J19" s="1125"/>
      <c r="K19" s="1125"/>
      <c r="L19" s="1121"/>
      <c r="M19" s="1122"/>
      <c r="N19" s="1120"/>
      <c r="O19" s="1120"/>
      <c r="P19" s="1120"/>
      <c r="Q19" s="1123"/>
      <c r="R19" s="1124"/>
      <c r="S19" s="1120"/>
      <c r="T19" s="1120"/>
      <c r="U19" s="1120"/>
      <c r="V19" s="1118"/>
      <c r="W19" s="1119"/>
      <c r="X19" s="1120"/>
      <c r="Y19" s="1120"/>
      <c r="Z19" s="1121"/>
      <c r="AA19" s="1122"/>
      <c r="AB19" s="1120"/>
      <c r="AC19" s="1120"/>
      <c r="AD19" s="1120"/>
      <c r="AE19" s="1123"/>
    </row>
    <row r="20" spans="1:31" s="33" customFormat="1" outlineLevel="1">
      <c r="A20" s="164" t="s">
        <v>395</v>
      </c>
      <c r="B20" s="165"/>
      <c r="C20" s="1116"/>
      <c r="D20" s="1124"/>
      <c r="E20" s="1120"/>
      <c r="F20" s="1120"/>
      <c r="G20" s="1120"/>
      <c r="H20" s="1118"/>
      <c r="I20" s="1119"/>
      <c r="J20" s="1120"/>
      <c r="K20" s="1120"/>
      <c r="L20" s="1141"/>
      <c r="M20" s="1122"/>
      <c r="N20" s="1120"/>
      <c r="O20" s="1120"/>
      <c r="P20" s="1120"/>
      <c r="Q20" s="1123"/>
      <c r="R20" s="1124"/>
      <c r="S20" s="1120"/>
      <c r="T20" s="1120"/>
      <c r="U20" s="1120"/>
      <c r="V20" s="1118"/>
      <c r="W20" s="1119"/>
      <c r="X20" s="1120"/>
      <c r="Y20" s="1120"/>
      <c r="Z20" s="1121"/>
      <c r="AA20" s="1122"/>
      <c r="AB20" s="1120"/>
      <c r="AC20" s="1120"/>
      <c r="AD20" s="1120"/>
      <c r="AE20" s="1123"/>
    </row>
    <row r="21" spans="1:31" s="161" customFormat="1" ht="16.5" outlineLevel="1" thickBot="1">
      <c r="A21" s="686" t="s">
        <v>396</v>
      </c>
      <c r="B21" s="676"/>
      <c r="C21" s="677" t="s">
        <v>387</v>
      </c>
      <c r="D21" s="678"/>
      <c r="E21" s="679"/>
      <c r="F21" s="679"/>
      <c r="G21" s="679"/>
      <c r="H21" s="681"/>
      <c r="I21" s="682"/>
      <c r="J21" s="679"/>
      <c r="K21" s="679"/>
      <c r="L21" s="702"/>
      <c r="M21" s="684"/>
      <c r="N21" s="679"/>
      <c r="O21" s="679"/>
      <c r="P21" s="679"/>
      <c r="Q21" s="685"/>
      <c r="R21" s="678"/>
      <c r="S21" s="679"/>
      <c r="T21" s="679"/>
      <c r="U21" s="679"/>
      <c r="V21" s="681"/>
      <c r="W21" s="682"/>
      <c r="X21" s="679"/>
      <c r="Y21" s="679"/>
      <c r="Z21" s="683"/>
      <c r="AA21" s="684"/>
      <c r="AB21" s="679"/>
      <c r="AC21" s="679"/>
      <c r="AD21" s="679"/>
      <c r="AE21" s="685"/>
    </row>
    <row r="22" spans="1:31" s="161" customFormat="1">
      <c r="A22" s="699" t="s">
        <v>360</v>
      </c>
      <c r="B22" s="687"/>
      <c r="C22" s="688"/>
      <c r="D22" s="689"/>
      <c r="E22" s="690"/>
      <c r="F22" s="690"/>
      <c r="G22" s="690"/>
      <c r="H22" s="691"/>
      <c r="I22" s="692"/>
      <c r="J22" s="690"/>
      <c r="K22" s="690"/>
      <c r="L22" s="693"/>
      <c r="M22" s="703"/>
      <c r="N22" s="704"/>
      <c r="O22" s="704"/>
      <c r="P22" s="704"/>
      <c r="Q22" s="695"/>
      <c r="R22" s="689"/>
      <c r="S22" s="690"/>
      <c r="T22" s="690"/>
      <c r="U22" s="690"/>
      <c r="V22" s="691"/>
      <c r="W22" s="692"/>
      <c r="X22" s="690"/>
      <c r="Y22" s="690"/>
      <c r="Z22" s="693"/>
      <c r="AA22" s="694"/>
      <c r="AB22" s="690"/>
      <c r="AC22" s="690"/>
      <c r="AD22" s="690"/>
      <c r="AE22" s="695"/>
    </row>
    <row r="23" spans="1:31" s="33" customFormat="1" outlineLevel="1">
      <c r="A23" s="164" t="s">
        <v>397</v>
      </c>
      <c r="B23" s="165"/>
      <c r="C23" s="1116"/>
      <c r="D23" s="1124"/>
      <c r="E23" s="1120"/>
      <c r="F23" s="1120"/>
      <c r="G23" s="1120"/>
      <c r="H23" s="1118"/>
      <c r="I23" s="1119"/>
      <c r="J23" s="1120"/>
      <c r="K23" s="1120"/>
      <c r="L23" s="1121"/>
      <c r="M23" s="1142"/>
      <c r="N23" s="1120"/>
      <c r="O23" s="1120"/>
      <c r="P23" s="1120"/>
      <c r="Q23" s="1123"/>
      <c r="R23" s="1124"/>
      <c r="S23" s="1120"/>
      <c r="T23" s="1120"/>
      <c r="U23" s="1120"/>
      <c r="V23" s="1118"/>
      <c r="W23" s="1119"/>
      <c r="X23" s="1120"/>
      <c r="Y23" s="1120"/>
      <c r="Z23" s="1121"/>
      <c r="AA23" s="1122"/>
      <c r="AB23" s="1120"/>
      <c r="AC23" s="1120"/>
      <c r="AD23" s="1120"/>
      <c r="AE23" s="1123"/>
    </row>
    <row r="24" spans="1:31" s="33" customFormat="1" outlineLevel="1">
      <c r="A24" s="166" t="s">
        <v>398</v>
      </c>
      <c r="B24" s="167"/>
      <c r="C24" s="1126"/>
      <c r="D24" s="1127"/>
      <c r="E24" s="1129"/>
      <c r="F24" s="1129"/>
      <c r="G24" s="1129"/>
      <c r="H24" s="1130"/>
      <c r="I24" s="1131"/>
      <c r="J24" s="1129"/>
      <c r="K24" s="1129"/>
      <c r="L24" s="1132"/>
      <c r="M24" s="1133"/>
      <c r="N24" s="1135"/>
      <c r="O24" s="1135"/>
      <c r="P24" s="1129"/>
      <c r="Q24" s="1134"/>
      <c r="R24" s="1127"/>
      <c r="S24" s="1129"/>
      <c r="T24" s="1129"/>
      <c r="U24" s="1129"/>
      <c r="V24" s="1130"/>
      <c r="W24" s="1131"/>
      <c r="X24" s="1129"/>
      <c r="Y24" s="1129"/>
      <c r="Z24" s="1132"/>
      <c r="AA24" s="1133"/>
      <c r="AB24" s="1129"/>
      <c r="AC24" s="1129"/>
      <c r="AD24" s="1129"/>
      <c r="AE24" s="1134"/>
    </row>
    <row r="25" spans="1:31" s="33" customFormat="1" outlineLevel="1">
      <c r="A25" s="166" t="s">
        <v>399</v>
      </c>
      <c r="B25" s="167"/>
      <c r="C25" s="1126"/>
      <c r="D25" s="1127"/>
      <c r="E25" s="1129"/>
      <c r="F25" s="1129"/>
      <c r="G25" s="1129"/>
      <c r="H25" s="1130"/>
      <c r="I25" s="1131"/>
      <c r="J25" s="1129"/>
      <c r="K25" s="1129"/>
      <c r="L25" s="1132"/>
      <c r="M25" s="1133"/>
      <c r="N25" s="1129"/>
      <c r="O25" s="1129"/>
      <c r="P25" s="1135"/>
      <c r="Q25" s="1134"/>
      <c r="R25" s="1127"/>
      <c r="S25" s="1129"/>
      <c r="T25" s="1129"/>
      <c r="U25" s="1129"/>
      <c r="V25" s="1130"/>
      <c r="W25" s="1131"/>
      <c r="X25" s="1129"/>
      <c r="Y25" s="1129"/>
      <c r="Z25" s="1132"/>
      <c r="AA25" s="1133"/>
      <c r="AB25" s="1129"/>
      <c r="AC25" s="1129"/>
      <c r="AD25" s="1129"/>
      <c r="AE25" s="1134"/>
    </row>
    <row r="26" spans="1:31" s="33" customFormat="1" outlineLevel="1">
      <c r="A26" s="166" t="s">
        <v>400</v>
      </c>
      <c r="B26" s="167"/>
      <c r="C26" s="1126"/>
      <c r="D26" s="1127"/>
      <c r="E26" s="1129"/>
      <c r="F26" s="1129"/>
      <c r="G26" s="1129"/>
      <c r="H26" s="1130"/>
      <c r="I26" s="1131"/>
      <c r="J26" s="1129"/>
      <c r="K26" s="1129"/>
      <c r="L26" s="1132"/>
      <c r="M26" s="1133"/>
      <c r="N26" s="1129"/>
      <c r="O26" s="1129"/>
      <c r="P26" s="1135"/>
      <c r="Q26" s="1134"/>
      <c r="R26" s="1127"/>
      <c r="S26" s="1129"/>
      <c r="T26" s="1129"/>
      <c r="U26" s="1129"/>
      <c r="V26" s="1130"/>
      <c r="W26" s="1131"/>
      <c r="X26" s="1129"/>
      <c r="Y26" s="1129"/>
      <c r="Z26" s="1132"/>
      <c r="AA26" s="1133"/>
      <c r="AB26" s="1129"/>
      <c r="AC26" s="1129"/>
      <c r="AD26" s="1129"/>
      <c r="AE26" s="1134"/>
    </row>
    <row r="27" spans="1:31" s="161" customFormat="1" ht="16.5" outlineLevel="1" thickBot="1">
      <c r="A27" s="675" t="s">
        <v>401</v>
      </c>
      <c r="B27" s="676"/>
      <c r="C27" s="677" t="s">
        <v>387</v>
      </c>
      <c r="D27" s="678"/>
      <c r="E27" s="679"/>
      <c r="F27" s="679"/>
      <c r="G27" s="679"/>
      <c r="H27" s="681"/>
      <c r="I27" s="682"/>
      <c r="J27" s="679"/>
      <c r="K27" s="679"/>
      <c r="L27" s="683"/>
      <c r="M27" s="684"/>
      <c r="N27" s="679"/>
      <c r="O27" s="679"/>
      <c r="P27" s="701"/>
      <c r="Q27" s="685"/>
      <c r="R27" s="678"/>
      <c r="S27" s="679"/>
      <c r="T27" s="679"/>
      <c r="U27" s="679"/>
      <c r="V27" s="681"/>
      <c r="W27" s="682"/>
      <c r="X27" s="679"/>
      <c r="Y27" s="679"/>
      <c r="Z27" s="683"/>
      <c r="AA27" s="684"/>
      <c r="AB27" s="679"/>
      <c r="AC27" s="679"/>
      <c r="AD27" s="679"/>
      <c r="AE27" s="685"/>
    </row>
    <row r="28" spans="1:31" s="33" customFormat="1">
      <c r="A28" s="700" t="s">
        <v>364</v>
      </c>
      <c r="B28" s="170"/>
      <c r="C28" s="1136"/>
      <c r="D28" s="1106"/>
      <c r="E28" s="1102"/>
      <c r="F28" s="1102"/>
      <c r="G28" s="1102"/>
      <c r="H28" s="1102"/>
      <c r="I28" s="1103"/>
      <c r="J28" s="1102"/>
      <c r="K28" s="1102"/>
      <c r="L28" s="1104"/>
      <c r="M28" s="1102"/>
      <c r="N28" s="1102"/>
      <c r="O28" s="1102"/>
      <c r="P28" s="1102"/>
      <c r="Q28" s="1143"/>
      <c r="R28" s="1100"/>
      <c r="S28" s="1101"/>
      <c r="T28" s="1101"/>
      <c r="U28" s="1102"/>
      <c r="V28" s="1102"/>
      <c r="W28" s="1103"/>
      <c r="X28" s="1102"/>
      <c r="Y28" s="1102"/>
      <c r="Z28" s="1104"/>
      <c r="AA28" s="1102"/>
      <c r="AB28" s="1102"/>
      <c r="AC28" s="1102"/>
      <c r="AD28" s="1102"/>
      <c r="AE28" s="1105"/>
    </row>
    <row r="29" spans="1:31" s="33" customFormat="1" outlineLevel="1">
      <c r="A29" s="164" t="s">
        <v>402</v>
      </c>
      <c r="B29" s="165"/>
      <c r="C29" s="1116"/>
      <c r="D29" s="1124"/>
      <c r="E29" s="1120"/>
      <c r="F29" s="1120"/>
      <c r="G29" s="1120"/>
      <c r="H29" s="1118"/>
      <c r="I29" s="1119"/>
      <c r="J29" s="1120"/>
      <c r="K29" s="1120"/>
      <c r="L29" s="1121"/>
      <c r="M29" s="1122"/>
      <c r="N29" s="1120"/>
      <c r="O29" s="1120"/>
      <c r="P29" s="1120"/>
      <c r="Q29" s="1144"/>
      <c r="R29" s="1125"/>
      <c r="S29" s="1125"/>
      <c r="T29" s="1125"/>
      <c r="U29" s="1120"/>
      <c r="V29" s="1118"/>
      <c r="W29" s="1119"/>
      <c r="X29" s="1120"/>
      <c r="Y29" s="1120"/>
      <c r="Z29" s="1121"/>
      <c r="AA29" s="1122"/>
      <c r="AB29" s="1120"/>
      <c r="AC29" s="1120"/>
      <c r="AD29" s="1120"/>
      <c r="AE29" s="1123"/>
    </row>
    <row r="30" spans="1:31" s="33" customFormat="1" outlineLevel="1">
      <c r="A30" s="162" t="s">
        <v>403</v>
      </c>
      <c r="B30" s="163"/>
      <c r="C30" s="1107"/>
      <c r="D30" s="1115"/>
      <c r="E30" s="1109"/>
      <c r="F30" s="1109"/>
      <c r="G30" s="1109"/>
      <c r="H30" s="1110"/>
      <c r="I30" s="1111"/>
      <c r="J30" s="1109"/>
      <c r="K30" s="1109"/>
      <c r="L30" s="1112"/>
      <c r="M30" s="1113"/>
      <c r="N30" s="1109"/>
      <c r="O30" s="1120"/>
      <c r="P30" s="1120"/>
      <c r="Q30" s="1144"/>
      <c r="R30" s="1115"/>
      <c r="S30" s="1109"/>
      <c r="T30" s="1109"/>
      <c r="U30" s="1109"/>
      <c r="V30" s="1110"/>
      <c r="W30" s="1111"/>
      <c r="X30" s="1109"/>
      <c r="Y30" s="1109"/>
      <c r="Z30" s="1112"/>
      <c r="AA30" s="1113"/>
      <c r="AB30" s="1109"/>
      <c r="AC30" s="1109"/>
      <c r="AD30" s="1109"/>
      <c r="AE30" s="1114"/>
    </row>
    <row r="31" spans="1:31" s="33" customFormat="1" outlineLevel="1">
      <c r="A31" s="164" t="s">
        <v>404</v>
      </c>
      <c r="B31" s="165"/>
      <c r="C31" s="1116"/>
      <c r="D31" s="1124"/>
      <c r="E31" s="1120"/>
      <c r="F31" s="1120"/>
      <c r="G31" s="1120"/>
      <c r="H31" s="1118"/>
      <c r="I31" s="1119"/>
      <c r="J31" s="1120"/>
      <c r="K31" s="1120"/>
      <c r="L31" s="1121"/>
      <c r="M31" s="1122"/>
      <c r="N31" s="1120"/>
      <c r="O31" s="1120"/>
      <c r="P31" s="1120"/>
      <c r="Q31" s="1123"/>
      <c r="R31" s="1108"/>
      <c r="S31" s="1109"/>
      <c r="T31" s="1120"/>
      <c r="U31" s="1120"/>
      <c r="V31" s="1118"/>
      <c r="W31" s="1119"/>
      <c r="X31" s="1120"/>
      <c r="Y31" s="1120"/>
      <c r="Z31" s="1121"/>
      <c r="AA31" s="1122"/>
      <c r="AB31" s="1120"/>
      <c r="AC31" s="1120"/>
      <c r="AD31" s="1120"/>
      <c r="AE31" s="1123"/>
    </row>
    <row r="32" spans="1:31" s="33" customFormat="1" outlineLevel="1">
      <c r="A32" s="164" t="s">
        <v>405</v>
      </c>
      <c r="B32" s="165"/>
      <c r="C32" s="1116"/>
      <c r="D32" s="1124"/>
      <c r="E32" s="1120"/>
      <c r="F32" s="1120"/>
      <c r="G32" s="1120"/>
      <c r="H32" s="1118"/>
      <c r="I32" s="1119"/>
      <c r="J32" s="1120"/>
      <c r="K32" s="1120"/>
      <c r="L32" s="1121"/>
      <c r="M32" s="1122"/>
      <c r="N32" s="1120"/>
      <c r="O32" s="1120"/>
      <c r="P32" s="1120"/>
      <c r="Q32" s="1123"/>
      <c r="R32" s="1115"/>
      <c r="S32" s="1145"/>
      <c r="T32" s="1120"/>
      <c r="U32" s="1120"/>
      <c r="V32" s="1118"/>
      <c r="W32" s="1119"/>
      <c r="X32" s="1120"/>
      <c r="Y32" s="1120"/>
      <c r="Z32" s="1121"/>
      <c r="AA32" s="1122"/>
      <c r="AB32" s="1120"/>
      <c r="AC32" s="1120"/>
      <c r="AD32" s="1120"/>
      <c r="AE32" s="1123"/>
    </row>
    <row r="33" spans="1:31" s="33" customFormat="1" outlineLevel="1">
      <c r="A33" s="164" t="s">
        <v>406</v>
      </c>
      <c r="B33" s="165"/>
      <c r="C33" s="1116"/>
      <c r="D33" s="1124"/>
      <c r="E33" s="1120"/>
      <c r="F33" s="1120"/>
      <c r="G33" s="1120"/>
      <c r="H33" s="1118"/>
      <c r="I33" s="1119"/>
      <c r="J33" s="1120"/>
      <c r="K33" s="1120"/>
      <c r="L33" s="1121"/>
      <c r="M33" s="1122"/>
      <c r="N33" s="1120"/>
      <c r="O33" s="1120"/>
      <c r="P33" s="1120"/>
      <c r="Q33" s="1123"/>
      <c r="R33" s="1115"/>
      <c r="S33" s="1145"/>
      <c r="T33" s="1120"/>
      <c r="U33" s="1120"/>
      <c r="V33" s="1118"/>
      <c r="W33" s="1119"/>
      <c r="X33" s="1120"/>
      <c r="Y33" s="1120"/>
      <c r="Z33" s="1121"/>
      <c r="AA33" s="1122"/>
      <c r="AB33" s="1120"/>
      <c r="AC33" s="1120"/>
      <c r="AD33" s="1120"/>
      <c r="AE33" s="1123"/>
    </row>
    <row r="34" spans="1:31" s="33" customFormat="1" outlineLevel="1">
      <c r="A34" s="164" t="s">
        <v>407</v>
      </c>
      <c r="B34" s="165"/>
      <c r="C34" s="1116"/>
      <c r="D34" s="1124"/>
      <c r="E34" s="1120"/>
      <c r="F34" s="1120"/>
      <c r="G34" s="1120"/>
      <c r="H34" s="1118"/>
      <c r="I34" s="1119"/>
      <c r="J34" s="1120"/>
      <c r="K34" s="1120"/>
      <c r="L34" s="1121"/>
      <c r="M34" s="1122"/>
      <c r="N34" s="1120"/>
      <c r="O34" s="1120"/>
      <c r="P34" s="1120"/>
      <c r="Q34" s="1123"/>
      <c r="R34" s="1115"/>
      <c r="S34" s="1109"/>
      <c r="T34" s="1125"/>
      <c r="U34" s="1120"/>
      <c r="V34" s="1118"/>
      <c r="W34" s="1119"/>
      <c r="X34" s="1120"/>
      <c r="Y34" s="1120"/>
      <c r="Z34" s="1121"/>
      <c r="AA34" s="1122"/>
      <c r="AB34" s="1120"/>
      <c r="AC34" s="1120"/>
      <c r="AD34" s="1120"/>
      <c r="AE34" s="1123"/>
    </row>
    <row r="35" spans="1:31" s="161" customFormat="1" ht="16.5" outlineLevel="1" thickBot="1">
      <c r="A35" s="675" t="s">
        <v>408</v>
      </c>
      <c r="B35" s="676"/>
      <c r="C35" s="677" t="s">
        <v>387</v>
      </c>
      <c r="D35" s="678"/>
      <c r="E35" s="679"/>
      <c r="F35" s="679"/>
      <c r="G35" s="679"/>
      <c r="H35" s="681"/>
      <c r="I35" s="682"/>
      <c r="J35" s="679"/>
      <c r="K35" s="679"/>
      <c r="L35" s="683"/>
      <c r="M35" s="684"/>
      <c r="N35" s="679"/>
      <c r="O35" s="679"/>
      <c r="P35" s="679"/>
      <c r="Q35" s="685"/>
      <c r="R35" s="678"/>
      <c r="S35" s="679"/>
      <c r="T35" s="701"/>
      <c r="U35" s="681"/>
      <c r="V35" s="681"/>
      <c r="W35" s="682"/>
      <c r="X35" s="679"/>
      <c r="Y35" s="679"/>
      <c r="Z35" s="683"/>
      <c r="AA35" s="684"/>
      <c r="AB35" s="679"/>
      <c r="AC35" s="679"/>
      <c r="AD35" s="679"/>
      <c r="AE35" s="685"/>
    </row>
    <row r="36" spans="1:31" s="33" customFormat="1">
      <c r="A36" s="698" t="s">
        <v>370</v>
      </c>
      <c r="B36" s="170"/>
      <c r="C36" s="1136"/>
      <c r="D36" s="1106"/>
      <c r="E36" s="1102"/>
      <c r="F36" s="1102"/>
      <c r="G36" s="1102"/>
      <c r="H36" s="1102"/>
      <c r="I36" s="1103"/>
      <c r="J36" s="1102"/>
      <c r="K36" s="1102"/>
      <c r="L36" s="1104"/>
      <c r="M36" s="1102"/>
      <c r="N36" s="1102"/>
      <c r="O36" s="1102"/>
      <c r="P36" s="1102"/>
      <c r="Q36" s="1105"/>
      <c r="R36" s="1106"/>
      <c r="S36" s="1102"/>
      <c r="T36" s="1102"/>
      <c r="U36" s="1101"/>
      <c r="V36" s="1101"/>
      <c r="W36" s="1137"/>
      <c r="X36" s="1101"/>
      <c r="Y36" s="1101"/>
      <c r="Z36" s="1138"/>
      <c r="AA36" s="1102"/>
      <c r="AB36" s="1102"/>
      <c r="AC36" s="1102"/>
      <c r="AD36" s="1102"/>
      <c r="AE36" s="1105"/>
    </row>
    <row r="37" spans="1:31" s="33" customFormat="1" outlineLevel="1">
      <c r="A37" s="162" t="s">
        <v>409</v>
      </c>
      <c r="B37" s="163"/>
      <c r="C37" s="1107"/>
      <c r="D37" s="1115"/>
      <c r="E37" s="1109"/>
      <c r="F37" s="1109"/>
      <c r="G37" s="1109"/>
      <c r="H37" s="1110"/>
      <c r="I37" s="1111"/>
      <c r="J37" s="1109"/>
      <c r="K37" s="1109"/>
      <c r="L37" s="1112"/>
      <c r="M37" s="1113"/>
      <c r="N37" s="1109"/>
      <c r="O37" s="1109"/>
      <c r="P37" s="1109"/>
      <c r="Q37" s="1114"/>
      <c r="R37" s="1115"/>
      <c r="S37" s="1109"/>
      <c r="T37" s="1109"/>
      <c r="U37" s="1145"/>
      <c r="V37" s="1110"/>
      <c r="W37" s="1111"/>
      <c r="X37" s="1109"/>
      <c r="Y37" s="1109"/>
      <c r="Z37" s="1112"/>
      <c r="AA37" s="1113"/>
      <c r="AB37" s="1109"/>
      <c r="AC37" s="1109"/>
      <c r="AD37" s="1109"/>
      <c r="AE37" s="1114"/>
    </row>
    <row r="38" spans="1:31" s="33" customFormat="1" outlineLevel="1">
      <c r="A38" s="164" t="s">
        <v>410</v>
      </c>
      <c r="B38" s="165"/>
      <c r="C38" s="1116"/>
      <c r="D38" s="1124"/>
      <c r="E38" s="1120"/>
      <c r="F38" s="1120"/>
      <c r="G38" s="1120"/>
      <c r="H38" s="1118"/>
      <c r="I38" s="1119"/>
      <c r="J38" s="1120"/>
      <c r="K38" s="1120"/>
      <c r="L38" s="1121"/>
      <c r="M38" s="1122"/>
      <c r="N38" s="1120"/>
      <c r="O38" s="1120"/>
      <c r="P38" s="1120"/>
      <c r="Q38" s="1123"/>
      <c r="R38" s="1124"/>
      <c r="S38" s="1120"/>
      <c r="T38" s="1120"/>
      <c r="U38" s="1125"/>
      <c r="V38" s="1139"/>
      <c r="W38" s="1119"/>
      <c r="X38" s="1120"/>
      <c r="Y38" s="1120"/>
      <c r="Z38" s="1121"/>
      <c r="AA38" s="1122"/>
      <c r="AB38" s="1120"/>
      <c r="AC38" s="1120"/>
      <c r="AD38" s="1120"/>
      <c r="AE38" s="1123"/>
    </row>
    <row r="39" spans="1:31" s="33" customFormat="1" outlineLevel="1">
      <c r="A39" s="164" t="s">
        <v>411</v>
      </c>
      <c r="B39" s="165"/>
      <c r="C39" s="1116"/>
      <c r="D39" s="1124"/>
      <c r="E39" s="1120"/>
      <c r="F39" s="1120"/>
      <c r="G39" s="1120"/>
      <c r="H39" s="1118"/>
      <c r="I39" s="1119"/>
      <c r="J39" s="1120"/>
      <c r="K39" s="1120"/>
      <c r="L39" s="1121"/>
      <c r="M39" s="1122"/>
      <c r="N39" s="1120"/>
      <c r="O39" s="1120"/>
      <c r="P39" s="1120"/>
      <c r="Q39" s="1123"/>
      <c r="R39" s="1124"/>
      <c r="S39" s="1120"/>
      <c r="T39" s="1120"/>
      <c r="U39" s="1120"/>
      <c r="V39" s="1118"/>
      <c r="W39" s="1140"/>
      <c r="X39" s="1120"/>
      <c r="Y39" s="1120"/>
      <c r="Z39" s="1121"/>
      <c r="AA39" s="1122"/>
      <c r="AB39" s="1120"/>
      <c r="AC39" s="1120"/>
      <c r="AD39" s="1120"/>
      <c r="AE39" s="1123"/>
    </row>
    <row r="40" spans="1:31" s="33" customFormat="1" outlineLevel="1">
      <c r="A40" s="164" t="s">
        <v>412</v>
      </c>
      <c r="B40" s="165"/>
      <c r="C40" s="1116"/>
      <c r="D40" s="1124"/>
      <c r="E40" s="1120"/>
      <c r="F40" s="1120"/>
      <c r="G40" s="1120"/>
      <c r="H40" s="1118"/>
      <c r="I40" s="1119"/>
      <c r="J40" s="1120"/>
      <c r="K40" s="1120"/>
      <c r="L40" s="1121"/>
      <c r="M40" s="1122"/>
      <c r="N40" s="1120"/>
      <c r="O40" s="1120"/>
      <c r="P40" s="1120"/>
      <c r="Q40" s="1123"/>
      <c r="R40" s="1124"/>
      <c r="S40" s="1120"/>
      <c r="T40" s="1120"/>
      <c r="U40" s="1120"/>
      <c r="V40" s="1118"/>
      <c r="W40" s="1140"/>
      <c r="X40" s="1125"/>
      <c r="Y40" s="1125"/>
      <c r="Z40" s="1121"/>
      <c r="AA40" s="1122"/>
      <c r="AB40" s="1120"/>
      <c r="AC40" s="1120"/>
      <c r="AD40" s="1120"/>
      <c r="AE40" s="1123"/>
    </row>
    <row r="41" spans="1:31" s="33" customFormat="1" outlineLevel="1">
      <c r="A41" s="164" t="s">
        <v>413</v>
      </c>
      <c r="B41" s="165"/>
      <c r="C41" s="1116"/>
      <c r="D41" s="1124"/>
      <c r="E41" s="1120"/>
      <c r="F41" s="1120"/>
      <c r="G41" s="1120"/>
      <c r="H41" s="1118"/>
      <c r="I41" s="1119"/>
      <c r="J41" s="1120"/>
      <c r="K41" s="1120"/>
      <c r="L41" s="1121"/>
      <c r="M41" s="1122"/>
      <c r="N41" s="1120"/>
      <c r="O41" s="1120"/>
      <c r="P41" s="1120"/>
      <c r="Q41" s="1123"/>
      <c r="R41" s="1124"/>
      <c r="S41" s="1120"/>
      <c r="T41" s="1120"/>
      <c r="U41" s="1120"/>
      <c r="V41" s="1118"/>
      <c r="W41" s="1119"/>
      <c r="X41" s="1120"/>
      <c r="Y41" s="1125"/>
      <c r="Z41" s="1121"/>
      <c r="AA41" s="1122"/>
      <c r="AB41" s="1120"/>
      <c r="AC41" s="1120"/>
      <c r="AD41" s="1120"/>
      <c r="AE41" s="1123"/>
    </row>
    <row r="42" spans="1:31" s="161" customFormat="1" outlineLevel="1">
      <c r="A42" s="686" t="s">
        <v>386</v>
      </c>
      <c r="B42" s="687"/>
      <c r="C42" s="688" t="s">
        <v>387</v>
      </c>
      <c r="D42" s="689"/>
      <c r="E42" s="690"/>
      <c r="F42" s="690"/>
      <c r="G42" s="690"/>
      <c r="H42" s="691"/>
      <c r="I42" s="692"/>
      <c r="J42" s="690"/>
      <c r="K42" s="690"/>
      <c r="L42" s="693"/>
      <c r="M42" s="694"/>
      <c r="N42" s="690"/>
      <c r="O42" s="690"/>
      <c r="P42" s="690"/>
      <c r="Q42" s="695"/>
      <c r="R42" s="689"/>
      <c r="S42" s="690"/>
      <c r="T42" s="690"/>
      <c r="U42" s="690"/>
      <c r="V42" s="691"/>
      <c r="W42" s="692"/>
      <c r="X42" s="690"/>
      <c r="Y42" s="690"/>
      <c r="Z42" s="705"/>
      <c r="AA42" s="694"/>
      <c r="AB42" s="690"/>
      <c r="AC42" s="690"/>
      <c r="AD42" s="690"/>
      <c r="AE42" s="695"/>
    </row>
    <row r="43" spans="1:31" s="33" customFormat="1" ht="16.5" outlineLevel="1" thickBot="1">
      <c r="A43" s="168" t="s">
        <v>414</v>
      </c>
      <c r="B43" s="169"/>
      <c r="C43" s="1146"/>
      <c r="D43" s="1147"/>
      <c r="E43" s="1148"/>
      <c r="F43" s="1148"/>
      <c r="G43" s="1148"/>
      <c r="H43" s="1149"/>
      <c r="I43" s="1150"/>
      <c r="J43" s="1148"/>
      <c r="K43" s="1148"/>
      <c r="L43" s="1151"/>
      <c r="M43" s="1152"/>
      <c r="N43" s="1148"/>
      <c r="O43" s="1148"/>
      <c r="P43" s="1148"/>
      <c r="Q43" s="1153"/>
      <c r="R43" s="1147"/>
      <c r="S43" s="1148"/>
      <c r="T43" s="1148"/>
      <c r="U43" s="1148"/>
      <c r="V43" s="1149"/>
      <c r="W43" s="1150"/>
      <c r="X43" s="1148"/>
      <c r="Y43" s="1148"/>
      <c r="Z43" s="1154"/>
      <c r="AA43" s="1152"/>
      <c r="AB43" s="1148"/>
      <c r="AC43" s="1148"/>
      <c r="AD43" s="1148"/>
      <c r="AE43" s="1153"/>
    </row>
    <row r="44" spans="1:31">
      <c r="A44" s="707"/>
      <c r="B44" s="1155"/>
      <c r="C44" s="1155"/>
      <c r="D44" s="707"/>
      <c r="E44" s="707"/>
      <c r="F44" s="707"/>
      <c r="G44" s="707"/>
      <c r="H44" s="707"/>
      <c r="I44" s="707"/>
      <c r="J44" s="707"/>
      <c r="K44" s="707"/>
      <c r="L44" s="707"/>
      <c r="M44" s="707"/>
      <c r="N44" s="707"/>
      <c r="O44" s="707"/>
      <c r="P44" s="707"/>
      <c r="Q44" s="707"/>
      <c r="R44" s="707"/>
      <c r="S44" s="707"/>
      <c r="T44" s="707"/>
      <c r="U44" s="707"/>
      <c r="V44" s="707"/>
      <c r="W44" s="707"/>
      <c r="X44" s="707"/>
      <c r="Y44" s="707"/>
      <c r="Z44" s="707"/>
      <c r="AA44" s="707"/>
      <c r="AB44" s="707"/>
      <c r="AC44" s="707"/>
      <c r="AD44" s="707"/>
      <c r="AE44" s="707"/>
    </row>
  </sheetData>
  <mergeCells count="8">
    <mergeCell ref="R3:V3"/>
    <mergeCell ref="W3:Z3"/>
    <mergeCell ref="AA3:AD3"/>
    <mergeCell ref="B3:B4"/>
    <mergeCell ref="C3:C4"/>
    <mergeCell ref="D3:H3"/>
    <mergeCell ref="I3:L3"/>
    <mergeCell ref="M3:P3"/>
  </mergeCells>
  <pageMargins left="0.70866141732283472" right="0.70866141732283472" top="0.43" bottom="0.5" header="0.31496062992125984" footer="0.31496062992125984"/>
  <pageSetup paperSize="9" scale="52" orientation="landscape"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9DC8F-A915-E849-9B51-BD1110F248D0}">
  <sheetPr>
    <pageSetUpPr fitToPage="1"/>
  </sheetPr>
  <dimension ref="A1:O9"/>
  <sheetViews>
    <sheetView topLeftCell="A7" zoomScaleNormal="100" workbookViewId="0">
      <selection activeCell="I8" sqref="I8"/>
    </sheetView>
  </sheetViews>
  <sheetFormatPr defaultColWidth="8.7109375" defaultRowHeight="15.75"/>
  <cols>
    <col min="1" max="1" width="14.28515625" style="34" customWidth="1"/>
    <col min="2" max="2" width="10.7109375" style="34" customWidth="1"/>
    <col min="3" max="3" width="21.7109375" style="34" customWidth="1"/>
    <col min="4" max="5" width="15" style="34" customWidth="1"/>
    <col min="6" max="7" width="11.7109375" style="34" customWidth="1"/>
    <col min="8" max="8" width="9.85546875" style="34" customWidth="1"/>
    <col min="9" max="9" width="31.28515625" style="34" customWidth="1"/>
    <col min="10" max="10" width="10.7109375" style="34" customWidth="1"/>
    <col min="11" max="11" width="12.85546875" style="34" customWidth="1"/>
    <col min="12" max="16384" width="8.7109375" style="34"/>
  </cols>
  <sheetData>
    <row r="1" spans="1:15">
      <c r="A1" s="707" t="s">
        <v>415</v>
      </c>
      <c r="B1" s="707"/>
      <c r="C1" s="707"/>
      <c r="D1" s="707"/>
      <c r="E1" s="707"/>
      <c r="F1" s="707"/>
      <c r="G1" s="707"/>
      <c r="H1" s="707"/>
      <c r="I1" s="707"/>
      <c r="J1" s="707"/>
      <c r="K1" s="707"/>
      <c r="L1" s="707"/>
      <c r="M1" s="707"/>
      <c r="N1" s="707"/>
      <c r="O1" s="707"/>
    </row>
    <row r="2" spans="1:15">
      <c r="A2" s="1019" t="s">
        <v>416</v>
      </c>
      <c r="B2" s="1019"/>
      <c r="C2" s="1019"/>
      <c r="D2" s="1019"/>
      <c r="E2" s="707"/>
      <c r="F2" s="707"/>
      <c r="G2" s="707"/>
      <c r="H2" s="707"/>
      <c r="I2" s="707"/>
      <c r="J2" s="707"/>
      <c r="K2" s="707"/>
      <c r="L2" s="707"/>
      <c r="M2" s="707"/>
      <c r="N2" s="707"/>
      <c r="O2" s="707"/>
    </row>
    <row r="4" spans="1:15">
      <c r="A4" s="103" t="s">
        <v>216</v>
      </c>
      <c r="B4" s="103"/>
      <c r="C4" s="103" t="s">
        <v>309</v>
      </c>
      <c r="D4" s="707"/>
      <c r="E4" s="707"/>
      <c r="F4" s="707"/>
      <c r="G4" s="707"/>
      <c r="H4" s="707"/>
      <c r="I4" s="707"/>
      <c r="J4" s="707"/>
      <c r="K4" s="707"/>
      <c r="L4" s="707"/>
      <c r="M4" s="707"/>
      <c r="N4" s="707"/>
      <c r="O4" s="707"/>
    </row>
    <row r="5" spans="1:15" ht="47.25">
      <c r="A5" s="172" t="s">
        <v>417</v>
      </c>
      <c r="B5" s="172" t="s">
        <v>418</v>
      </c>
      <c r="C5" s="172" t="s">
        <v>180</v>
      </c>
      <c r="D5" s="172" t="s">
        <v>419</v>
      </c>
      <c r="E5" s="172" t="s">
        <v>420</v>
      </c>
      <c r="F5" s="172" t="s">
        <v>421</v>
      </c>
      <c r="G5" s="172" t="s">
        <v>422</v>
      </c>
      <c r="H5" s="172" t="s">
        <v>183</v>
      </c>
      <c r="I5" s="172" t="s">
        <v>423</v>
      </c>
      <c r="J5" s="172" t="s">
        <v>424</v>
      </c>
      <c r="K5" s="172" t="s">
        <v>425</v>
      </c>
      <c r="L5" s="172" t="s">
        <v>182</v>
      </c>
      <c r="M5" s="707"/>
      <c r="N5" s="707"/>
      <c r="O5" s="707"/>
    </row>
    <row r="6" spans="1:15" s="147" customFormat="1" ht="94.5">
      <c r="A6" s="1156" t="s">
        <v>426</v>
      </c>
      <c r="B6" s="1156" t="s">
        <v>427</v>
      </c>
      <c r="C6" s="1156" t="s">
        <v>428</v>
      </c>
      <c r="D6" s="1156" t="s">
        <v>429</v>
      </c>
      <c r="E6" s="1156" t="s">
        <v>430</v>
      </c>
      <c r="F6" s="1157" t="s">
        <v>431</v>
      </c>
      <c r="G6" s="1157" t="s">
        <v>432</v>
      </c>
      <c r="H6" s="1156" t="s">
        <v>433</v>
      </c>
      <c r="I6" s="1156" t="s">
        <v>434</v>
      </c>
      <c r="J6" s="1158" t="s">
        <v>435</v>
      </c>
      <c r="K6" s="1156" t="s">
        <v>436</v>
      </c>
      <c r="L6" s="1156" t="s">
        <v>437</v>
      </c>
      <c r="M6" s="656"/>
      <c r="N6" s="656"/>
      <c r="O6" s="656"/>
    </row>
    <row r="7" spans="1:15" s="147" customFormat="1" ht="63">
      <c r="A7" s="1047" t="s">
        <v>438</v>
      </c>
      <c r="B7" s="1047" t="s">
        <v>439</v>
      </c>
      <c r="C7" s="1047" t="s">
        <v>440</v>
      </c>
      <c r="D7" s="1047" t="s">
        <v>441</v>
      </c>
      <c r="E7" s="1047" t="s">
        <v>442</v>
      </c>
      <c r="F7" s="1047" t="s">
        <v>443</v>
      </c>
      <c r="G7" s="1159" t="s">
        <v>444</v>
      </c>
      <c r="H7" s="1047" t="s">
        <v>433</v>
      </c>
      <c r="I7" s="1047" t="s">
        <v>445</v>
      </c>
      <c r="J7" s="1047" t="s">
        <v>446</v>
      </c>
      <c r="K7" s="1047" t="s">
        <v>447</v>
      </c>
      <c r="L7" s="1047" t="s">
        <v>448</v>
      </c>
      <c r="M7" s="656"/>
      <c r="N7" s="656"/>
      <c r="O7" s="656"/>
    </row>
    <row r="8" spans="1:15" s="147" customFormat="1" ht="189">
      <c r="A8" s="1047" t="s">
        <v>449</v>
      </c>
      <c r="B8" s="1047" t="s">
        <v>450</v>
      </c>
      <c r="C8" s="1047" t="s">
        <v>451</v>
      </c>
      <c r="D8" s="1047" t="s">
        <v>452</v>
      </c>
      <c r="E8" s="1047" t="s">
        <v>453</v>
      </c>
      <c r="F8" s="1047" t="s">
        <v>454</v>
      </c>
      <c r="G8" s="1047" t="s">
        <v>455</v>
      </c>
      <c r="H8" s="1047" t="s">
        <v>433</v>
      </c>
      <c r="I8" s="1047" t="s">
        <v>456</v>
      </c>
      <c r="J8" s="1160" t="s">
        <v>457</v>
      </c>
      <c r="K8" s="1047" t="s">
        <v>458</v>
      </c>
      <c r="L8" s="1047" t="s">
        <v>459</v>
      </c>
      <c r="M8" s="656"/>
      <c r="N8" s="656"/>
      <c r="O8" s="656"/>
    </row>
    <row r="9" spans="1:15">
      <c r="A9" s="707"/>
      <c r="B9" s="707"/>
      <c r="C9" s="707"/>
      <c r="D9" s="707"/>
      <c r="E9" s="1077"/>
      <c r="F9" s="707"/>
      <c r="G9" s="707"/>
      <c r="H9" s="707"/>
      <c r="I9" s="707"/>
      <c r="J9" s="707"/>
      <c r="K9" s="707"/>
      <c r="L9" s="707"/>
      <c r="M9" s="707"/>
      <c r="N9" s="707"/>
      <c r="O9" s="707"/>
    </row>
  </sheetData>
  <pageMargins left="0.70866141732283472" right="0.70866141732283472" top="0.74803149606299213" bottom="0.74803149606299213" header="0.31496062992125984" footer="0.31496062992125984"/>
  <pageSetup paperSize="9" scale="75" orientation="landscape" horizontalDpi="0" verticalDpi="0" r:id="rId1"/>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3">
    <pageSetUpPr fitToPage="1"/>
  </sheetPr>
  <dimension ref="A1:AB38"/>
  <sheetViews>
    <sheetView zoomScale="55" zoomScaleNormal="55" workbookViewId="0"/>
  </sheetViews>
  <sheetFormatPr defaultColWidth="8.7109375" defaultRowHeight="15.75"/>
  <cols>
    <col min="1" max="1" width="19.140625" style="34" customWidth="1"/>
    <col min="2" max="2" width="16.42578125" style="34" bestFit="1" customWidth="1"/>
    <col min="3" max="3" width="13.7109375" style="34" bestFit="1" customWidth="1"/>
    <col min="4" max="4" width="8.7109375" style="34"/>
    <col min="5" max="5" width="17.42578125" style="34" bestFit="1" customWidth="1"/>
    <col min="6" max="6" width="14.28515625" style="34" bestFit="1" customWidth="1"/>
    <col min="7" max="7" width="8.7109375" style="34"/>
    <col min="8" max="8" width="19" style="34" bestFit="1" customWidth="1"/>
    <col min="9" max="9" width="14.28515625" style="34" bestFit="1" customWidth="1"/>
    <col min="10" max="10" width="8.7109375" style="34"/>
    <col min="11" max="11" width="26.140625" style="34" customWidth="1"/>
    <col min="12" max="12" width="30.85546875" style="34" customWidth="1"/>
    <col min="13" max="13" width="5.42578125" style="173" customWidth="1"/>
    <col min="14" max="14" width="32.140625" style="34" customWidth="1"/>
    <col min="15" max="15" width="65.42578125" style="34" customWidth="1"/>
    <col min="16" max="19" width="6.28515625" style="34" customWidth="1"/>
    <col min="20" max="21" width="6.28515625" style="34" hidden="1" customWidth="1"/>
    <col min="22" max="23" width="6.28515625" style="34" customWidth="1"/>
    <col min="24" max="24" width="6.28515625" style="34" hidden="1" customWidth="1"/>
    <col min="25" max="27" width="6.28515625" style="34" customWidth="1"/>
    <col min="28" max="29" width="8.7109375" style="34"/>
    <col min="30" max="30" width="24.7109375" style="34" bestFit="1" customWidth="1"/>
    <col min="31" max="31" width="18.28515625" style="34" bestFit="1" customWidth="1"/>
    <col min="32" max="32" width="8.7109375" style="34"/>
    <col min="33" max="33" width="23" style="34" bestFit="1" customWidth="1"/>
    <col min="34" max="16384" width="8.7109375" style="34"/>
  </cols>
  <sheetData>
    <row r="1" spans="5:27" s="106" customFormat="1">
      <c r="E1" s="1076"/>
      <c r="F1" s="1076"/>
      <c r="G1" s="1076"/>
      <c r="H1" s="1076"/>
      <c r="I1" s="1076"/>
      <c r="J1" s="1076"/>
      <c r="K1" s="1076"/>
      <c r="L1" s="1076"/>
      <c r="M1" s="893" t="s">
        <v>460</v>
      </c>
      <c r="N1" s="1161"/>
      <c r="O1" s="1161"/>
      <c r="P1" s="1161" t="s">
        <v>461</v>
      </c>
      <c r="Q1" s="1161"/>
      <c r="R1" s="1161"/>
      <c r="S1" s="1161"/>
      <c r="T1" s="1161"/>
      <c r="U1" s="1161"/>
      <c r="V1" s="1161" t="s">
        <v>462</v>
      </c>
      <c r="W1" s="1161"/>
      <c r="X1" s="1161"/>
      <c r="Y1" s="1161"/>
      <c r="Z1" s="1161"/>
      <c r="AA1" s="1161"/>
    </row>
    <row r="2" spans="5:27" s="106" customFormat="1">
      <c r="E2" s="1076"/>
      <c r="F2" s="1076"/>
      <c r="G2" s="1076"/>
      <c r="H2" s="1076"/>
      <c r="I2" s="1076"/>
      <c r="J2" s="1076"/>
      <c r="K2" s="1076"/>
      <c r="L2" s="1076"/>
      <c r="M2" s="894" t="s">
        <v>463</v>
      </c>
      <c r="N2" s="1162"/>
      <c r="O2" s="1162"/>
      <c r="P2" s="1162" t="s">
        <v>464</v>
      </c>
      <c r="Q2" s="1162"/>
      <c r="R2" s="1162"/>
      <c r="S2" s="1162"/>
      <c r="T2" s="1162"/>
      <c r="U2" s="1162"/>
      <c r="V2" s="1162" t="s">
        <v>465</v>
      </c>
      <c r="W2" s="1162"/>
      <c r="X2" s="1162"/>
      <c r="Y2" s="1162"/>
      <c r="Z2" s="1162"/>
      <c r="AA2" s="1162"/>
    </row>
    <row r="3" spans="5:27" s="106" customFormat="1">
      <c r="E3" s="1076"/>
      <c r="F3" s="1076"/>
      <c r="G3" s="1076"/>
      <c r="H3" s="1076"/>
      <c r="I3" s="1076"/>
      <c r="J3" s="1076"/>
      <c r="K3" s="1076"/>
      <c r="L3" s="1076"/>
      <c r="M3" s="1163"/>
      <c r="N3" s="707" t="s">
        <v>466</v>
      </c>
      <c r="O3" s="1076"/>
      <c r="P3" s="1076"/>
      <c r="Q3" s="1076"/>
      <c r="R3" s="1076"/>
      <c r="S3" s="1076"/>
      <c r="T3" s="1076"/>
      <c r="U3" s="1076"/>
      <c r="V3" s="1076"/>
      <c r="W3" s="1076"/>
      <c r="X3" s="1076"/>
      <c r="Y3" s="1076"/>
      <c r="Z3" s="1076"/>
      <c r="AA3" s="1076"/>
    </row>
    <row r="4" spans="5:27" s="106" customFormat="1">
      <c r="E4" s="1076"/>
      <c r="F4" s="1076"/>
      <c r="G4" s="1076"/>
      <c r="H4" s="1076"/>
      <c r="I4" s="1076"/>
      <c r="J4" s="1076"/>
      <c r="K4" s="1076"/>
      <c r="L4" s="1076"/>
      <c r="M4" s="1163"/>
      <c r="N4" s="1076"/>
      <c r="O4" s="895" t="s">
        <v>467</v>
      </c>
      <c r="P4" s="1164">
        <v>10</v>
      </c>
      <c r="Q4" s="1164">
        <v>8</v>
      </c>
      <c r="R4" s="1164">
        <v>6</v>
      </c>
      <c r="S4" s="1164"/>
      <c r="T4" s="1164"/>
      <c r="U4" s="1164"/>
      <c r="V4" s="1164"/>
      <c r="W4" s="1164"/>
      <c r="X4" s="1164"/>
      <c r="Y4" s="1164"/>
      <c r="Z4" s="1164"/>
      <c r="AA4" s="1076"/>
    </row>
    <row r="5" spans="5:27" s="106" customFormat="1" ht="117.75">
      <c r="E5" s="1076"/>
      <c r="F5" s="1076"/>
      <c r="G5" s="1076"/>
      <c r="H5" s="1076"/>
      <c r="I5" s="1076"/>
      <c r="J5" s="1076"/>
      <c r="K5" s="1076"/>
      <c r="L5" s="1076"/>
      <c r="M5" s="1163"/>
      <c r="N5" s="103" t="s">
        <v>468</v>
      </c>
      <c r="O5" s="103" t="s">
        <v>469</v>
      </c>
      <c r="P5" s="896" t="s">
        <v>470</v>
      </c>
      <c r="Q5" s="896" t="s">
        <v>471</v>
      </c>
      <c r="R5" s="896" t="s">
        <v>472</v>
      </c>
      <c r="S5" s="896" t="s">
        <v>473</v>
      </c>
      <c r="T5" s="896" t="s">
        <v>473</v>
      </c>
      <c r="U5" s="896" t="s">
        <v>473</v>
      </c>
      <c r="V5" s="896" t="s">
        <v>473</v>
      </c>
      <c r="W5" s="896" t="s">
        <v>473</v>
      </c>
      <c r="X5" s="896" t="s">
        <v>473</v>
      </c>
      <c r="Y5" s="896" t="s">
        <v>473</v>
      </c>
      <c r="Z5" s="896" t="s">
        <v>473</v>
      </c>
      <c r="AA5" s="174" t="s">
        <v>474</v>
      </c>
    </row>
    <row r="6" spans="5:27" s="106" customFormat="1">
      <c r="E6" s="1076"/>
      <c r="F6" s="1076"/>
      <c r="G6" s="1076"/>
      <c r="H6" s="1076"/>
      <c r="I6" s="1076"/>
      <c r="J6" s="1076"/>
      <c r="K6" s="1076"/>
      <c r="L6" s="1076"/>
      <c r="M6" s="1165">
        <v>1</v>
      </c>
      <c r="N6" s="706" t="s">
        <v>475</v>
      </c>
      <c r="O6" s="706" t="s">
        <v>476</v>
      </c>
      <c r="P6" s="1166">
        <v>3</v>
      </c>
      <c r="Q6" s="1166">
        <v>9</v>
      </c>
      <c r="R6" s="1166">
        <v>1</v>
      </c>
      <c r="S6" s="1166"/>
      <c r="T6" s="1166"/>
      <c r="U6" s="1166"/>
      <c r="V6" s="1166"/>
      <c r="W6" s="1166"/>
      <c r="X6" s="1166"/>
      <c r="Y6" s="1166"/>
      <c r="Z6" s="1166"/>
      <c r="AA6" s="1166">
        <f t="shared" ref="AA6:AA37" si="0">P6*$P$4+Q6*$Q$4+R6*$R$4+S6*$S$4+T6*$T$4+U6*$U$4+V6*$V$4+W6*$W$4+X6*$X$4+Y6*$Y$4+Z6*$Z$4</f>
        <v>108</v>
      </c>
    </row>
    <row r="7" spans="5:27" s="106" customFormat="1">
      <c r="E7" s="1076"/>
      <c r="F7" s="1076"/>
      <c r="G7" s="1076"/>
      <c r="H7" s="1076"/>
      <c r="I7" s="1076"/>
      <c r="J7" s="1076"/>
      <c r="K7" s="1076"/>
      <c r="L7" s="1076"/>
      <c r="M7" s="1165">
        <v>2</v>
      </c>
      <c r="N7" s="706" t="s">
        <v>475</v>
      </c>
      <c r="O7" s="706" t="s">
        <v>477</v>
      </c>
      <c r="P7" s="1166">
        <v>3</v>
      </c>
      <c r="Q7" s="1166">
        <v>3</v>
      </c>
      <c r="R7" s="1166">
        <v>3</v>
      </c>
      <c r="S7" s="1166"/>
      <c r="T7" s="1166"/>
      <c r="U7" s="1166"/>
      <c r="V7" s="1166"/>
      <c r="W7" s="1166"/>
      <c r="X7" s="1166"/>
      <c r="Y7" s="1166"/>
      <c r="Z7" s="1166"/>
      <c r="AA7" s="1166">
        <f t="shared" si="0"/>
        <v>72</v>
      </c>
    </row>
    <row r="8" spans="5:27" s="106" customFormat="1">
      <c r="E8" s="1076"/>
      <c r="F8" s="1076"/>
      <c r="G8" s="1076"/>
      <c r="H8" s="1076"/>
      <c r="I8" s="1076"/>
      <c r="J8" s="1076"/>
      <c r="K8" s="1076"/>
      <c r="L8" s="1076"/>
      <c r="M8" s="1165">
        <v>3</v>
      </c>
      <c r="N8" s="706" t="s">
        <v>478</v>
      </c>
      <c r="O8" s="706" t="s">
        <v>479</v>
      </c>
      <c r="P8" s="1166">
        <v>9</v>
      </c>
      <c r="Q8" s="1166">
        <v>9</v>
      </c>
      <c r="R8" s="1166">
        <v>1</v>
      </c>
      <c r="S8" s="1166"/>
      <c r="T8" s="1166"/>
      <c r="U8" s="1166"/>
      <c r="V8" s="1166"/>
      <c r="W8" s="1166"/>
      <c r="X8" s="1166"/>
      <c r="Y8" s="1166"/>
      <c r="Z8" s="1166"/>
      <c r="AA8" s="1166">
        <f t="shared" si="0"/>
        <v>168</v>
      </c>
    </row>
    <row r="9" spans="5:27" s="106" customFormat="1">
      <c r="E9" s="1076"/>
      <c r="F9" s="1076"/>
      <c r="G9" s="1076"/>
      <c r="H9" s="1076"/>
      <c r="I9" s="1076"/>
      <c r="J9" s="1076"/>
      <c r="K9" s="1076"/>
      <c r="L9" s="1076"/>
      <c r="M9" s="1165">
        <v>4</v>
      </c>
      <c r="N9" s="706" t="s">
        <v>478</v>
      </c>
      <c r="O9" s="706" t="s">
        <v>480</v>
      </c>
      <c r="P9" s="1166">
        <v>9</v>
      </c>
      <c r="Q9" s="1166">
        <v>9</v>
      </c>
      <c r="R9" s="1166">
        <v>1</v>
      </c>
      <c r="S9" s="1166"/>
      <c r="T9" s="1166"/>
      <c r="U9" s="1166"/>
      <c r="V9" s="1166"/>
      <c r="W9" s="1166"/>
      <c r="X9" s="1166"/>
      <c r="Y9" s="1166"/>
      <c r="Z9" s="1166"/>
      <c r="AA9" s="1166">
        <f t="shared" si="0"/>
        <v>168</v>
      </c>
    </row>
    <row r="10" spans="5:27" s="106" customFormat="1">
      <c r="E10" s="1076"/>
      <c r="F10" s="1076"/>
      <c r="G10" s="1076"/>
      <c r="H10" s="1076"/>
      <c r="I10" s="1076"/>
      <c r="J10" s="1076"/>
      <c r="K10" s="1076"/>
      <c r="L10" s="1076"/>
      <c r="M10" s="1165">
        <v>5</v>
      </c>
      <c r="N10" s="706" t="s">
        <v>212</v>
      </c>
      <c r="O10" s="706" t="s">
        <v>481</v>
      </c>
      <c r="P10" s="1166"/>
      <c r="Q10" s="1166"/>
      <c r="R10" s="1166"/>
      <c r="S10" s="1166"/>
      <c r="T10" s="1166"/>
      <c r="U10" s="1166"/>
      <c r="V10" s="1166"/>
      <c r="W10" s="1166"/>
      <c r="X10" s="1166"/>
      <c r="Y10" s="1166"/>
      <c r="Z10" s="1166"/>
      <c r="AA10" s="1166">
        <f t="shared" si="0"/>
        <v>0</v>
      </c>
    </row>
    <row r="11" spans="5:27" s="106" customFormat="1">
      <c r="E11" s="1167"/>
      <c r="F11" s="1076"/>
      <c r="G11" s="1076"/>
      <c r="H11" s="1076"/>
      <c r="I11" s="1076"/>
      <c r="J11" s="1076"/>
      <c r="K11" s="1076"/>
      <c r="L11" s="1076"/>
      <c r="M11" s="1165">
        <v>6</v>
      </c>
      <c r="N11" s="706"/>
      <c r="O11" s="706"/>
      <c r="P11" s="1166"/>
      <c r="Q11" s="1166"/>
      <c r="R11" s="1166"/>
      <c r="S11" s="1166"/>
      <c r="T11" s="1166"/>
      <c r="U11" s="1166"/>
      <c r="V11" s="1166"/>
      <c r="W11" s="1166"/>
      <c r="X11" s="1166"/>
      <c r="Y11" s="1166"/>
      <c r="Z11" s="1166"/>
      <c r="AA11" s="1166">
        <f t="shared" si="0"/>
        <v>0</v>
      </c>
    </row>
    <row r="12" spans="5:27" s="106" customFormat="1">
      <c r="E12" s="1076"/>
      <c r="F12" s="1076"/>
      <c r="G12" s="1076"/>
      <c r="H12" s="1076"/>
      <c r="I12" s="1076"/>
      <c r="J12" s="1076"/>
      <c r="K12" s="1076"/>
      <c r="L12" s="1076"/>
      <c r="M12" s="1165">
        <v>7</v>
      </c>
      <c r="N12" s="706"/>
      <c r="O12" s="706"/>
      <c r="P12" s="1166"/>
      <c r="Q12" s="1166"/>
      <c r="R12" s="1166"/>
      <c r="S12" s="1166"/>
      <c r="T12" s="1166"/>
      <c r="U12" s="1166"/>
      <c r="V12" s="1166"/>
      <c r="W12" s="1166"/>
      <c r="X12" s="1166"/>
      <c r="Y12" s="1166"/>
      <c r="Z12" s="1166"/>
      <c r="AA12" s="1166">
        <f t="shared" si="0"/>
        <v>0</v>
      </c>
    </row>
    <row r="13" spans="5:27" s="106" customFormat="1">
      <c r="E13" s="1076"/>
      <c r="F13" s="1076"/>
      <c r="G13" s="1076"/>
      <c r="H13" s="1076"/>
      <c r="I13" s="1076"/>
      <c r="J13" s="1076"/>
      <c r="K13" s="1076"/>
      <c r="L13" s="1076"/>
      <c r="M13" s="1165">
        <v>8</v>
      </c>
      <c r="N13" s="706"/>
      <c r="O13" s="706"/>
      <c r="P13" s="1166"/>
      <c r="Q13" s="1166"/>
      <c r="R13" s="1166"/>
      <c r="S13" s="1166"/>
      <c r="T13" s="1166"/>
      <c r="U13" s="1166"/>
      <c r="V13" s="1166"/>
      <c r="W13" s="1166"/>
      <c r="X13" s="1166"/>
      <c r="Y13" s="1166"/>
      <c r="Z13" s="1166"/>
      <c r="AA13" s="1166">
        <f t="shared" si="0"/>
        <v>0</v>
      </c>
    </row>
    <row r="14" spans="5:27" s="106" customFormat="1">
      <c r="E14" s="1076"/>
      <c r="F14" s="1076"/>
      <c r="G14" s="1076"/>
      <c r="H14" s="1076"/>
      <c r="I14" s="1076"/>
      <c r="J14" s="1076"/>
      <c r="K14" s="1076"/>
      <c r="L14" s="1076"/>
      <c r="M14" s="1165">
        <v>9</v>
      </c>
      <c r="N14" s="706"/>
      <c r="O14" s="706"/>
      <c r="P14" s="1166"/>
      <c r="Q14" s="1166"/>
      <c r="R14" s="1166"/>
      <c r="S14" s="1166"/>
      <c r="T14" s="1166"/>
      <c r="U14" s="1166"/>
      <c r="V14" s="1166"/>
      <c r="W14" s="1166"/>
      <c r="X14" s="1166"/>
      <c r="Y14" s="1166"/>
      <c r="Z14" s="1166"/>
      <c r="AA14" s="1166">
        <f t="shared" si="0"/>
        <v>0</v>
      </c>
    </row>
    <row r="15" spans="5:27" s="106" customFormat="1">
      <c r="E15" s="1076"/>
      <c r="F15" s="1076"/>
      <c r="G15" s="1076"/>
      <c r="H15" s="1076"/>
      <c r="I15" s="1076"/>
      <c r="J15" s="1076"/>
      <c r="K15" s="1076"/>
      <c r="L15" s="1076"/>
      <c r="M15" s="1165">
        <v>10</v>
      </c>
      <c r="N15" s="706"/>
      <c r="O15" s="706"/>
      <c r="P15" s="1166"/>
      <c r="Q15" s="1166"/>
      <c r="R15" s="1166"/>
      <c r="S15" s="1166"/>
      <c r="T15" s="1166"/>
      <c r="U15" s="1166"/>
      <c r="V15" s="1166"/>
      <c r="W15" s="1166"/>
      <c r="X15" s="1166"/>
      <c r="Y15" s="1166"/>
      <c r="Z15" s="1166"/>
      <c r="AA15" s="1166">
        <f t="shared" si="0"/>
        <v>0</v>
      </c>
    </row>
    <row r="16" spans="5:27" s="106" customFormat="1">
      <c r="E16" s="1076"/>
      <c r="F16" s="1076"/>
      <c r="G16" s="1076"/>
      <c r="H16" s="1076"/>
      <c r="I16" s="1076"/>
      <c r="J16" s="1076"/>
      <c r="K16" s="1076"/>
      <c r="L16" s="1076"/>
      <c r="M16" s="1165">
        <v>11</v>
      </c>
      <c r="N16" s="706"/>
      <c r="O16" s="706"/>
      <c r="P16" s="1166"/>
      <c r="Q16" s="1166"/>
      <c r="R16" s="1166"/>
      <c r="S16" s="1166"/>
      <c r="T16" s="1166"/>
      <c r="U16" s="1166"/>
      <c r="V16" s="1166"/>
      <c r="W16" s="1166"/>
      <c r="X16" s="1166"/>
      <c r="Y16" s="1166"/>
      <c r="Z16" s="1166"/>
      <c r="AA16" s="1166">
        <f t="shared" si="0"/>
        <v>0</v>
      </c>
    </row>
    <row r="17" spans="1:28" s="106" customFormat="1">
      <c r="A17" s="1076"/>
      <c r="B17" s="1076"/>
      <c r="C17" s="1076"/>
      <c r="D17" s="1076"/>
      <c r="E17" s="1076"/>
      <c r="F17" s="1076"/>
      <c r="G17" s="1076"/>
      <c r="H17" s="1076"/>
      <c r="I17" s="1076"/>
      <c r="J17" s="1076"/>
      <c r="K17" s="1076"/>
      <c r="L17" s="1076"/>
      <c r="M17" s="1165">
        <v>12</v>
      </c>
      <c r="N17" s="706"/>
      <c r="O17" s="706"/>
      <c r="P17" s="1166"/>
      <c r="Q17" s="1166"/>
      <c r="R17" s="1166"/>
      <c r="S17" s="1166"/>
      <c r="T17" s="1166"/>
      <c r="U17" s="1166"/>
      <c r="V17" s="1166"/>
      <c r="W17" s="1166"/>
      <c r="X17" s="1166"/>
      <c r="Y17" s="1166"/>
      <c r="Z17" s="1166"/>
      <c r="AA17" s="1166">
        <f t="shared" si="0"/>
        <v>0</v>
      </c>
      <c r="AB17" s="1076"/>
    </row>
    <row r="18" spans="1:28" s="106" customFormat="1">
      <c r="A18" s="1076"/>
      <c r="B18" s="1076"/>
      <c r="C18" s="1076"/>
      <c r="D18" s="1076"/>
      <c r="E18" s="1076"/>
      <c r="F18" s="1076"/>
      <c r="G18" s="1076"/>
      <c r="H18" s="1076"/>
      <c r="I18" s="1076"/>
      <c r="J18" s="1076"/>
      <c r="K18" s="1076"/>
      <c r="L18" s="1076"/>
      <c r="M18" s="1165">
        <v>13</v>
      </c>
      <c r="N18" s="706"/>
      <c r="O18" s="706"/>
      <c r="P18" s="1166"/>
      <c r="Q18" s="1166"/>
      <c r="R18" s="1166"/>
      <c r="S18" s="1166"/>
      <c r="T18" s="1166"/>
      <c r="U18" s="1166"/>
      <c r="V18" s="1166"/>
      <c r="W18" s="1166"/>
      <c r="X18" s="1166"/>
      <c r="Y18" s="1166"/>
      <c r="Z18" s="1166"/>
      <c r="AA18" s="1166">
        <f t="shared" si="0"/>
        <v>0</v>
      </c>
      <c r="AB18" s="1076"/>
    </row>
    <row r="19" spans="1:28" s="106" customFormat="1">
      <c r="A19" s="1076"/>
      <c r="B19" s="1076"/>
      <c r="C19" s="1076"/>
      <c r="D19" s="1076"/>
      <c r="E19" s="1076"/>
      <c r="F19" s="1076"/>
      <c r="G19" s="1076"/>
      <c r="H19" s="1076"/>
      <c r="I19" s="1076"/>
      <c r="J19" s="1076"/>
      <c r="K19" s="1076"/>
      <c r="L19" s="1076"/>
      <c r="M19" s="1165">
        <v>14</v>
      </c>
      <c r="N19" s="706"/>
      <c r="O19" s="706"/>
      <c r="P19" s="1166"/>
      <c r="Q19" s="1166"/>
      <c r="R19" s="1166"/>
      <c r="S19" s="1166"/>
      <c r="T19" s="1166"/>
      <c r="U19" s="1166"/>
      <c r="V19" s="1166"/>
      <c r="W19" s="1166"/>
      <c r="X19" s="1166"/>
      <c r="Y19" s="1166"/>
      <c r="Z19" s="1166"/>
      <c r="AA19" s="1166">
        <f t="shared" si="0"/>
        <v>0</v>
      </c>
      <c r="AB19" s="1076"/>
    </row>
    <row r="20" spans="1:28" s="106" customFormat="1">
      <c r="A20" s="1076"/>
      <c r="B20" s="1076"/>
      <c r="C20" s="1076"/>
      <c r="D20" s="1076"/>
      <c r="E20" s="1076"/>
      <c r="F20" s="1076"/>
      <c r="G20" s="1076"/>
      <c r="H20" s="1076"/>
      <c r="I20" s="1076"/>
      <c r="J20" s="1076"/>
      <c r="K20" s="1076"/>
      <c r="L20" s="1076"/>
      <c r="M20" s="1165">
        <v>15</v>
      </c>
      <c r="N20" s="706"/>
      <c r="O20" s="706"/>
      <c r="P20" s="1166"/>
      <c r="Q20" s="1166"/>
      <c r="R20" s="1166"/>
      <c r="S20" s="1166"/>
      <c r="T20" s="1166"/>
      <c r="U20" s="1166"/>
      <c r="V20" s="1166"/>
      <c r="W20" s="1166"/>
      <c r="X20" s="1166"/>
      <c r="Y20" s="1166"/>
      <c r="Z20" s="1166"/>
      <c r="AA20" s="1166">
        <f t="shared" si="0"/>
        <v>0</v>
      </c>
      <c r="AB20" s="1076"/>
    </row>
    <row r="21" spans="1:28" s="106" customFormat="1">
      <c r="A21" s="1076"/>
      <c r="B21" s="1076"/>
      <c r="C21" s="1076"/>
      <c r="D21" s="1076"/>
      <c r="E21" s="1076"/>
      <c r="F21" s="1076"/>
      <c r="G21" s="1076"/>
      <c r="H21" s="1076"/>
      <c r="I21" s="1076"/>
      <c r="J21" s="1076"/>
      <c r="K21" s="1076"/>
      <c r="L21" s="1076"/>
      <c r="M21" s="1165">
        <v>16</v>
      </c>
      <c r="N21" s="706"/>
      <c r="O21" s="706"/>
      <c r="P21" s="1166"/>
      <c r="Q21" s="1166"/>
      <c r="R21" s="1166"/>
      <c r="S21" s="1166"/>
      <c r="T21" s="1166"/>
      <c r="U21" s="1166"/>
      <c r="V21" s="1166"/>
      <c r="W21" s="1166"/>
      <c r="X21" s="1166"/>
      <c r="Y21" s="1166"/>
      <c r="Z21" s="1166"/>
      <c r="AA21" s="1166">
        <f t="shared" si="0"/>
        <v>0</v>
      </c>
      <c r="AB21" s="1076"/>
    </row>
    <row r="22" spans="1:28" s="106" customFormat="1">
      <c r="A22" s="1076"/>
      <c r="B22" s="1076"/>
      <c r="C22" s="1076"/>
      <c r="D22" s="1076"/>
      <c r="E22" s="1076"/>
      <c r="F22" s="1076"/>
      <c r="G22" s="1076"/>
      <c r="H22" s="1076"/>
      <c r="I22" s="1076"/>
      <c r="J22" s="1076"/>
      <c r="K22" s="1076"/>
      <c r="L22" s="1076"/>
      <c r="M22" s="1165">
        <v>17</v>
      </c>
      <c r="N22" s="706"/>
      <c r="O22" s="706"/>
      <c r="P22" s="1166"/>
      <c r="Q22" s="1166"/>
      <c r="R22" s="1166"/>
      <c r="S22" s="1166"/>
      <c r="T22" s="1166"/>
      <c r="U22" s="1166"/>
      <c r="V22" s="1166"/>
      <c r="W22" s="1166"/>
      <c r="X22" s="1166"/>
      <c r="Y22" s="1166"/>
      <c r="Z22" s="1166"/>
      <c r="AA22" s="1166">
        <f t="shared" si="0"/>
        <v>0</v>
      </c>
      <c r="AB22" s="1076"/>
    </row>
    <row r="23" spans="1:28" s="106" customFormat="1">
      <c r="A23" s="1076"/>
      <c r="B23" s="1076"/>
      <c r="C23" s="1076"/>
      <c r="D23" s="1076"/>
      <c r="E23" s="1076"/>
      <c r="F23" s="1076"/>
      <c r="G23" s="1076"/>
      <c r="H23" s="1076"/>
      <c r="I23" s="1076"/>
      <c r="J23" s="1076"/>
      <c r="K23" s="1076"/>
      <c r="L23" s="1076"/>
      <c r="M23" s="1165">
        <v>18</v>
      </c>
      <c r="N23" s="706"/>
      <c r="O23" s="706"/>
      <c r="P23" s="1166"/>
      <c r="Q23" s="1166"/>
      <c r="R23" s="1166"/>
      <c r="S23" s="1166"/>
      <c r="T23" s="1166"/>
      <c r="U23" s="1166"/>
      <c r="V23" s="1166"/>
      <c r="W23" s="1166"/>
      <c r="X23" s="1166"/>
      <c r="Y23" s="1166"/>
      <c r="Z23" s="1166"/>
      <c r="AA23" s="1166">
        <f t="shared" si="0"/>
        <v>0</v>
      </c>
      <c r="AB23" s="1076"/>
    </row>
    <row r="24" spans="1:28" s="106" customFormat="1">
      <c r="A24" s="1076"/>
      <c r="B24" s="1076"/>
      <c r="C24" s="1076"/>
      <c r="D24" s="1076"/>
      <c r="E24" s="1076"/>
      <c r="F24" s="1076"/>
      <c r="G24" s="1076"/>
      <c r="H24" s="1076"/>
      <c r="I24" s="1076"/>
      <c r="J24" s="1076"/>
      <c r="K24" s="1076"/>
      <c r="L24" s="1076"/>
      <c r="M24" s="1165">
        <v>19</v>
      </c>
      <c r="N24" s="706"/>
      <c r="O24" s="706"/>
      <c r="P24" s="1166"/>
      <c r="Q24" s="1166"/>
      <c r="R24" s="1166"/>
      <c r="S24" s="1166"/>
      <c r="T24" s="1166"/>
      <c r="U24" s="1166"/>
      <c r="V24" s="1166"/>
      <c r="W24" s="1166"/>
      <c r="X24" s="1166"/>
      <c r="Y24" s="1166"/>
      <c r="Z24" s="1166"/>
      <c r="AA24" s="1166">
        <f t="shared" si="0"/>
        <v>0</v>
      </c>
      <c r="AB24" s="1076"/>
    </row>
    <row r="25" spans="1:28" s="106" customFormat="1">
      <c r="A25" s="1076"/>
      <c r="B25" s="1076"/>
      <c r="C25" s="1076"/>
      <c r="D25" s="1076"/>
      <c r="E25" s="1076"/>
      <c r="F25" s="1076"/>
      <c r="G25" s="1076"/>
      <c r="H25" s="1076"/>
      <c r="I25" s="1076"/>
      <c r="J25" s="1076"/>
      <c r="K25" s="1076"/>
      <c r="L25" s="1076"/>
      <c r="M25" s="1165">
        <v>20</v>
      </c>
      <c r="N25" s="706"/>
      <c r="O25" s="706"/>
      <c r="P25" s="1166"/>
      <c r="Q25" s="1166"/>
      <c r="R25" s="1166"/>
      <c r="S25" s="1166"/>
      <c r="T25" s="1166"/>
      <c r="U25" s="1166"/>
      <c r="V25" s="1166"/>
      <c r="W25" s="1166"/>
      <c r="X25" s="1166"/>
      <c r="Y25" s="1166"/>
      <c r="Z25" s="1166"/>
      <c r="AA25" s="1166">
        <f t="shared" si="0"/>
        <v>0</v>
      </c>
      <c r="AB25" s="1076"/>
    </row>
    <row r="26" spans="1:28" s="106" customFormat="1">
      <c r="A26" s="1076"/>
      <c r="B26" s="1076"/>
      <c r="C26" s="1076"/>
      <c r="D26" s="1076"/>
      <c r="E26" s="1076"/>
      <c r="F26" s="1076"/>
      <c r="G26" s="1076"/>
      <c r="H26" s="1076"/>
      <c r="I26" s="1076"/>
      <c r="J26" s="1076"/>
      <c r="K26" s="1076"/>
      <c r="L26" s="1076"/>
      <c r="M26" s="1165">
        <v>21</v>
      </c>
      <c r="N26" s="706"/>
      <c r="O26" s="706"/>
      <c r="P26" s="1166"/>
      <c r="Q26" s="1166"/>
      <c r="R26" s="1166"/>
      <c r="S26" s="1166"/>
      <c r="T26" s="1166"/>
      <c r="U26" s="1166"/>
      <c r="V26" s="1166"/>
      <c r="W26" s="1166"/>
      <c r="X26" s="1166"/>
      <c r="Y26" s="1166"/>
      <c r="Z26" s="1166"/>
      <c r="AA26" s="1166">
        <f t="shared" si="0"/>
        <v>0</v>
      </c>
      <c r="AB26" s="1076"/>
    </row>
    <row r="27" spans="1:28" s="106" customFormat="1">
      <c r="A27" s="1076"/>
      <c r="B27" s="1076"/>
      <c r="C27" s="1076"/>
      <c r="D27" s="1076"/>
      <c r="E27" s="1076"/>
      <c r="F27" s="1076"/>
      <c r="G27" s="1076"/>
      <c r="H27" s="1076"/>
      <c r="I27" s="1076"/>
      <c r="J27" s="1076"/>
      <c r="K27" s="1076"/>
      <c r="L27" s="1076"/>
      <c r="M27" s="1165">
        <v>22</v>
      </c>
      <c r="N27" s="706"/>
      <c r="O27" s="706"/>
      <c r="P27" s="1166"/>
      <c r="Q27" s="1166"/>
      <c r="R27" s="1166"/>
      <c r="S27" s="1166"/>
      <c r="T27" s="1166"/>
      <c r="U27" s="1166"/>
      <c r="V27" s="1166"/>
      <c r="W27" s="1166"/>
      <c r="X27" s="1166"/>
      <c r="Y27" s="1166"/>
      <c r="Z27" s="1166"/>
      <c r="AA27" s="1166">
        <f t="shared" si="0"/>
        <v>0</v>
      </c>
      <c r="AB27" s="1076"/>
    </row>
    <row r="28" spans="1:28" s="106" customFormat="1">
      <c r="A28" s="1076"/>
      <c r="B28" s="1076"/>
      <c r="C28" s="1076"/>
      <c r="D28" s="1076"/>
      <c r="E28" s="1076"/>
      <c r="F28" s="1076"/>
      <c r="G28" s="1076"/>
      <c r="H28" s="1076"/>
      <c r="I28" s="1076"/>
      <c r="J28" s="1076"/>
      <c r="K28" s="1076"/>
      <c r="L28" s="1076"/>
      <c r="M28" s="1165">
        <v>23</v>
      </c>
      <c r="N28" s="706"/>
      <c r="O28" s="706"/>
      <c r="P28" s="1166"/>
      <c r="Q28" s="1166"/>
      <c r="R28" s="1166"/>
      <c r="S28" s="1166"/>
      <c r="T28" s="1166"/>
      <c r="U28" s="1166"/>
      <c r="V28" s="1166"/>
      <c r="W28" s="1166"/>
      <c r="X28" s="1166"/>
      <c r="Y28" s="1166"/>
      <c r="Z28" s="1166"/>
      <c r="AA28" s="1166">
        <f t="shared" si="0"/>
        <v>0</v>
      </c>
      <c r="AB28" s="1076"/>
    </row>
    <row r="29" spans="1:28" s="106" customFormat="1">
      <c r="A29" s="1076"/>
      <c r="B29" s="1076"/>
      <c r="C29" s="1076"/>
      <c r="D29" s="1076"/>
      <c r="E29" s="1076"/>
      <c r="F29" s="1076"/>
      <c r="G29" s="1076"/>
      <c r="H29" s="1076"/>
      <c r="I29" s="1076"/>
      <c r="J29" s="1076"/>
      <c r="K29" s="1076"/>
      <c r="L29" s="1076"/>
      <c r="M29" s="1165">
        <v>24</v>
      </c>
      <c r="N29" s="706"/>
      <c r="O29" s="706"/>
      <c r="P29" s="1166"/>
      <c r="Q29" s="1166"/>
      <c r="R29" s="1166"/>
      <c r="S29" s="1166"/>
      <c r="T29" s="1166"/>
      <c r="U29" s="1166"/>
      <c r="V29" s="1166"/>
      <c r="W29" s="1166"/>
      <c r="X29" s="1166"/>
      <c r="Y29" s="1166"/>
      <c r="Z29" s="1166"/>
      <c r="AA29" s="1166">
        <f t="shared" si="0"/>
        <v>0</v>
      </c>
      <c r="AB29" s="1076"/>
    </row>
    <row r="30" spans="1:28">
      <c r="A30" s="1076"/>
      <c r="B30" s="1076"/>
      <c r="C30" s="1076"/>
      <c r="D30" s="1076"/>
      <c r="E30" s="1076"/>
      <c r="F30" s="1076"/>
      <c r="G30" s="1076"/>
      <c r="H30" s="1076"/>
      <c r="I30" s="1076"/>
      <c r="J30" s="1076"/>
      <c r="K30" s="1076"/>
      <c r="L30" s="1076"/>
      <c r="M30" s="1165">
        <v>25</v>
      </c>
      <c r="N30" s="706"/>
      <c r="O30" s="706"/>
      <c r="P30" s="1166"/>
      <c r="Q30" s="1166"/>
      <c r="R30" s="1166"/>
      <c r="S30" s="1166"/>
      <c r="T30" s="1166"/>
      <c r="U30" s="1166"/>
      <c r="V30" s="1166"/>
      <c r="W30" s="1166"/>
      <c r="X30" s="1166"/>
      <c r="Y30" s="1166"/>
      <c r="Z30" s="1166"/>
      <c r="AA30" s="1166">
        <f t="shared" si="0"/>
        <v>0</v>
      </c>
      <c r="AB30" s="1076"/>
    </row>
    <row r="31" spans="1:28">
      <c r="A31" s="1076"/>
      <c r="B31" s="1076"/>
      <c r="C31" s="1076"/>
      <c r="D31" s="1076"/>
      <c r="E31" s="1076"/>
      <c r="F31" s="1076"/>
      <c r="G31" s="1076"/>
      <c r="H31" s="1076"/>
      <c r="I31" s="1076"/>
      <c r="J31" s="1076"/>
      <c r="K31" s="1076"/>
      <c r="L31" s="1076"/>
      <c r="M31" s="1165">
        <v>26</v>
      </c>
      <c r="N31" s="706"/>
      <c r="O31" s="706"/>
      <c r="P31" s="1166"/>
      <c r="Q31" s="1166"/>
      <c r="R31" s="1166"/>
      <c r="S31" s="1166"/>
      <c r="T31" s="1166"/>
      <c r="U31" s="1166"/>
      <c r="V31" s="1166"/>
      <c r="W31" s="1166"/>
      <c r="X31" s="1166"/>
      <c r="Y31" s="1166"/>
      <c r="Z31" s="1166"/>
      <c r="AA31" s="1166">
        <f t="shared" si="0"/>
        <v>0</v>
      </c>
      <c r="AB31" s="1076"/>
    </row>
    <row r="32" spans="1:28">
      <c r="A32" s="1076"/>
      <c r="B32" s="1076"/>
      <c r="C32" s="1076"/>
      <c r="D32" s="1076"/>
      <c r="E32" s="1076"/>
      <c r="F32" s="1076"/>
      <c r="G32" s="1076"/>
      <c r="H32" s="1076"/>
      <c r="I32" s="1076"/>
      <c r="J32" s="1076"/>
      <c r="K32" s="1076"/>
      <c r="L32" s="1076"/>
      <c r="M32" s="1165">
        <v>27</v>
      </c>
      <c r="N32" s="706"/>
      <c r="O32" s="706"/>
      <c r="P32" s="1166"/>
      <c r="Q32" s="1166"/>
      <c r="R32" s="1166"/>
      <c r="S32" s="1166"/>
      <c r="T32" s="1166"/>
      <c r="U32" s="1166"/>
      <c r="V32" s="1166"/>
      <c r="W32" s="1166"/>
      <c r="X32" s="1166"/>
      <c r="Y32" s="1166"/>
      <c r="Z32" s="1166"/>
      <c r="AA32" s="1166">
        <f t="shared" si="0"/>
        <v>0</v>
      </c>
      <c r="AB32" s="1076"/>
    </row>
    <row r="33" spans="1:28">
      <c r="A33" s="1076"/>
      <c r="B33" s="1076"/>
      <c r="C33" s="1076"/>
      <c r="D33" s="1076"/>
      <c r="E33" s="1076"/>
      <c r="F33" s="1076"/>
      <c r="G33" s="1076"/>
      <c r="H33" s="1076"/>
      <c r="I33" s="1076"/>
      <c r="J33" s="1076"/>
      <c r="K33" s="1076"/>
      <c r="L33" s="1076"/>
      <c r="M33" s="1165">
        <v>28</v>
      </c>
      <c r="N33" s="706"/>
      <c r="O33" s="706"/>
      <c r="P33" s="1166"/>
      <c r="Q33" s="1166"/>
      <c r="R33" s="1166"/>
      <c r="S33" s="1166"/>
      <c r="T33" s="1166"/>
      <c r="U33" s="1166"/>
      <c r="V33" s="1166"/>
      <c r="W33" s="1166"/>
      <c r="X33" s="1166"/>
      <c r="Y33" s="1166"/>
      <c r="Z33" s="1166"/>
      <c r="AA33" s="1166">
        <f t="shared" si="0"/>
        <v>0</v>
      </c>
      <c r="AB33" s="1076"/>
    </row>
    <row r="34" spans="1:28">
      <c r="A34" s="1076"/>
      <c r="B34" s="1076"/>
      <c r="C34" s="1076"/>
      <c r="D34" s="1076"/>
      <c r="E34" s="1076"/>
      <c r="F34" s="1076"/>
      <c r="G34" s="1076"/>
      <c r="H34" s="1076"/>
      <c r="I34" s="1076"/>
      <c r="J34" s="1076"/>
      <c r="K34" s="1076"/>
      <c r="L34" s="1076"/>
      <c r="M34" s="1165">
        <v>29</v>
      </c>
      <c r="N34" s="706"/>
      <c r="O34" s="706"/>
      <c r="P34" s="1166"/>
      <c r="Q34" s="1166"/>
      <c r="R34" s="1166"/>
      <c r="S34" s="1166"/>
      <c r="T34" s="1166"/>
      <c r="U34" s="1166"/>
      <c r="V34" s="1166"/>
      <c r="W34" s="1166"/>
      <c r="X34" s="1166"/>
      <c r="Y34" s="1166"/>
      <c r="Z34" s="1166"/>
      <c r="AA34" s="1166">
        <f t="shared" si="0"/>
        <v>0</v>
      </c>
      <c r="AB34" s="1076"/>
    </row>
    <row r="35" spans="1:28">
      <c r="A35" s="1076"/>
      <c r="B35" s="1076"/>
      <c r="C35" s="1076"/>
      <c r="D35" s="1076"/>
      <c r="E35" s="1076"/>
      <c r="F35" s="1076"/>
      <c r="G35" s="1076"/>
      <c r="H35" s="1076"/>
      <c r="I35" s="1076"/>
      <c r="J35" s="1076"/>
      <c r="K35" s="1076"/>
      <c r="L35" s="1076"/>
      <c r="M35" s="1165">
        <v>30</v>
      </c>
      <c r="N35" s="706"/>
      <c r="O35" s="706"/>
      <c r="P35" s="1166"/>
      <c r="Q35" s="1166"/>
      <c r="R35" s="1166"/>
      <c r="S35" s="1166"/>
      <c r="T35" s="1166"/>
      <c r="U35" s="1166"/>
      <c r="V35" s="1166"/>
      <c r="W35" s="1166"/>
      <c r="X35" s="1166"/>
      <c r="Y35" s="1166"/>
      <c r="Z35" s="1166"/>
      <c r="AA35" s="1166">
        <f t="shared" si="0"/>
        <v>0</v>
      </c>
      <c r="AB35" s="1076"/>
    </row>
    <row r="36" spans="1:28">
      <c r="A36" s="1076"/>
      <c r="B36" s="1076"/>
      <c r="C36" s="1076"/>
      <c r="D36" s="1076"/>
      <c r="E36" s="1076"/>
      <c r="F36" s="1076"/>
      <c r="G36" s="1076"/>
      <c r="H36" s="1076"/>
      <c r="I36" s="1076"/>
      <c r="J36" s="1076"/>
      <c r="K36" s="1076"/>
      <c r="L36" s="1076"/>
      <c r="M36" s="1165">
        <v>31</v>
      </c>
      <c r="N36" s="706"/>
      <c r="O36" s="706"/>
      <c r="P36" s="1166"/>
      <c r="Q36" s="1166"/>
      <c r="R36" s="1166"/>
      <c r="S36" s="1166"/>
      <c r="T36" s="1166"/>
      <c r="U36" s="1166"/>
      <c r="V36" s="1166"/>
      <c r="W36" s="1166"/>
      <c r="X36" s="1166"/>
      <c r="Y36" s="1166"/>
      <c r="Z36" s="1166"/>
      <c r="AA36" s="1166">
        <f t="shared" si="0"/>
        <v>0</v>
      </c>
      <c r="AB36" s="1076"/>
    </row>
    <row r="37" spans="1:28">
      <c r="A37" s="1076"/>
      <c r="B37" s="1076"/>
      <c r="C37" s="1076"/>
      <c r="D37" s="1076"/>
      <c r="E37" s="1076"/>
      <c r="F37" s="1076"/>
      <c r="G37" s="1076"/>
      <c r="H37" s="1076"/>
      <c r="I37" s="1076"/>
      <c r="J37" s="1076"/>
      <c r="K37" s="1076"/>
      <c r="L37" s="1076"/>
      <c r="M37" s="1165">
        <v>32</v>
      </c>
      <c r="N37" s="706"/>
      <c r="O37" s="706"/>
      <c r="P37" s="1166"/>
      <c r="Q37" s="1166"/>
      <c r="R37" s="1166"/>
      <c r="S37" s="1166"/>
      <c r="T37" s="1166"/>
      <c r="U37" s="1166"/>
      <c r="V37" s="1166"/>
      <c r="W37" s="1166"/>
      <c r="X37" s="1166"/>
      <c r="Y37" s="1166"/>
      <c r="Z37" s="1166"/>
      <c r="AA37" s="1166">
        <f t="shared" si="0"/>
        <v>0</v>
      </c>
      <c r="AB37" s="1076"/>
    </row>
    <row r="38" spans="1:28">
      <c r="A38" s="1076"/>
      <c r="B38" s="1076"/>
      <c r="C38" s="1076"/>
      <c r="D38" s="1076"/>
      <c r="E38" s="1076"/>
      <c r="F38" s="1076"/>
      <c r="G38" s="1076"/>
      <c r="H38" s="1076"/>
      <c r="I38" s="1076"/>
      <c r="J38" s="1076"/>
      <c r="K38" s="1076"/>
      <c r="L38" s="1076"/>
      <c r="M38" s="1163"/>
      <c r="N38" s="1076"/>
      <c r="O38" s="1076"/>
      <c r="P38" s="1076"/>
      <c r="Q38" s="1076"/>
      <c r="R38" s="1076"/>
      <c r="S38" s="1076"/>
      <c r="T38" s="1076"/>
      <c r="U38" s="1076"/>
      <c r="V38" s="1076"/>
      <c r="W38" s="1076"/>
      <c r="X38" s="1076"/>
      <c r="Y38" s="1076"/>
      <c r="Z38" s="1076"/>
      <c r="AA38" s="1076"/>
      <c r="AB38" s="1076"/>
    </row>
  </sheetData>
  <dataValidations count="1">
    <dataValidation type="list" allowBlank="1" showInputMessage="1" showErrorMessage="1" sqref="P6:Z25" xr:uid="{E0B9906F-D643-234B-807E-9333DBFDC5FC}">
      <formula1>"0,1,3,9"</formula1>
    </dataValidation>
  </dataValidations>
  <pageMargins left="0.70866141732283472" right="0.39" top="0.46" bottom="0.4" header="0.31496062992125984" footer="0.31496062992125984"/>
  <pageSetup paperSize="9" scale="68" fitToWidth="2" orientation="landscape" horizontalDpi="0" verticalDpi="0" r:id="rId1"/>
  <customProperties>
    <customPr name="ORB_SHEETNAME" r:id="rId2"/>
  </customProperties>
  <drawing r:id="rId3"/>
  <legacyDrawing r:id="rId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0483E-5DC6-4420-B21A-7E3413A2533D}">
  <sheetPr>
    <pageSetUpPr fitToPage="1"/>
  </sheetPr>
  <dimension ref="A1:N22"/>
  <sheetViews>
    <sheetView zoomScaleNormal="100" workbookViewId="0">
      <selection activeCell="F4" sqref="F4"/>
    </sheetView>
  </sheetViews>
  <sheetFormatPr defaultColWidth="8.7109375" defaultRowHeight="15.75"/>
  <cols>
    <col min="1" max="1" width="14.7109375" style="175" customWidth="1"/>
    <col min="2" max="2" width="9.7109375" style="175" bestFit="1" customWidth="1"/>
    <col min="3" max="3" width="10.85546875" style="175" customWidth="1"/>
    <col min="4" max="4" width="13.7109375" style="175" bestFit="1" customWidth="1"/>
    <col min="5" max="5" width="13.42578125" style="175" bestFit="1" customWidth="1"/>
    <col min="6" max="6" width="15.7109375" style="175" customWidth="1"/>
    <col min="7" max="7" width="10.85546875" style="175" customWidth="1"/>
    <col min="8" max="8" width="8" style="175" customWidth="1"/>
    <col min="9" max="9" width="8.7109375" style="175" customWidth="1"/>
    <col min="10" max="10" width="10.7109375" style="175" bestFit="1" customWidth="1"/>
    <col min="11" max="11" width="11.140625" style="175" customWidth="1"/>
    <col min="12" max="12" width="8.5703125" style="175" customWidth="1"/>
    <col min="13" max="13" width="6" style="175" bestFit="1" customWidth="1"/>
    <col min="14" max="14" width="21.28515625" style="175" customWidth="1"/>
    <col min="15" max="16384" width="8.7109375" style="175"/>
  </cols>
  <sheetData>
    <row r="1" spans="1:14" ht="18" customHeight="1">
      <c r="A1" s="1269" t="s">
        <v>482</v>
      </c>
      <c r="B1" s="1270"/>
      <c r="C1" s="1270"/>
      <c r="D1" s="1270"/>
      <c r="E1" s="1270"/>
      <c r="F1" s="1270"/>
      <c r="G1" s="1270"/>
      <c r="H1" s="1270"/>
      <c r="I1" s="1270"/>
      <c r="J1" s="1270"/>
      <c r="K1" s="1270"/>
      <c r="L1" s="986"/>
      <c r="M1" s="986" t="s">
        <v>181</v>
      </c>
      <c r="N1" s="986" t="s">
        <v>309</v>
      </c>
    </row>
    <row r="2" spans="1:14" ht="16.5" thickBot="1">
      <c r="A2" s="987" t="s">
        <v>483</v>
      </c>
      <c r="B2" s="1267" t="s">
        <v>484</v>
      </c>
      <c r="C2" s="1267"/>
      <c r="D2" s="1267"/>
      <c r="E2" s="1268"/>
      <c r="F2" s="1265" t="s">
        <v>485</v>
      </c>
      <c r="G2" s="1266"/>
      <c r="H2" s="1266"/>
      <c r="I2" s="1266"/>
      <c r="J2" s="1266"/>
      <c r="K2" s="1266"/>
      <c r="L2" s="1266"/>
      <c r="M2" s="1266"/>
      <c r="N2" s="1266"/>
    </row>
    <row r="3" spans="1:14" ht="48" thickBot="1">
      <c r="A3" s="176" t="s">
        <v>486</v>
      </c>
      <c r="B3" s="177" t="s">
        <v>487</v>
      </c>
      <c r="C3" s="204" t="s">
        <v>488</v>
      </c>
      <c r="D3" s="205" t="s">
        <v>489</v>
      </c>
      <c r="E3" s="209" t="s">
        <v>490</v>
      </c>
      <c r="F3" s="708" t="s">
        <v>491</v>
      </c>
      <c r="G3" s="708" t="s">
        <v>492</v>
      </c>
      <c r="H3" s="708" t="s">
        <v>493</v>
      </c>
      <c r="I3" s="708" t="s">
        <v>494</v>
      </c>
      <c r="J3" s="708" t="s">
        <v>495</v>
      </c>
      <c r="K3" s="708" t="s">
        <v>496</v>
      </c>
      <c r="L3" s="708" t="s">
        <v>497</v>
      </c>
      <c r="M3" s="708" t="s">
        <v>498</v>
      </c>
      <c r="N3" s="177" t="s">
        <v>346</v>
      </c>
    </row>
    <row r="4" spans="1:14" s="185" customFormat="1" ht="47.25">
      <c r="A4" s="190" t="s">
        <v>499</v>
      </c>
      <c r="B4" s="190">
        <f>SUM(C4:E4)</f>
        <v>4</v>
      </c>
      <c r="C4" s="203">
        <v>0</v>
      </c>
      <c r="D4" s="203">
        <v>3</v>
      </c>
      <c r="E4" s="210">
        <v>1</v>
      </c>
      <c r="F4" s="206" t="s">
        <v>228</v>
      </c>
      <c r="G4" s="183"/>
      <c r="H4" s="183"/>
      <c r="I4" s="183"/>
      <c r="J4" s="183"/>
      <c r="K4" s="183"/>
      <c r="L4" s="183"/>
      <c r="M4" s="183"/>
      <c r="N4" s="184" t="s">
        <v>500</v>
      </c>
    </row>
    <row r="5" spans="1:14" s="185" customFormat="1">
      <c r="A5" s="191" t="s">
        <v>209</v>
      </c>
      <c r="B5" s="191">
        <f t="shared" ref="B5:B20" si="0">SUM(C5:E5)</f>
        <v>11</v>
      </c>
      <c r="C5" s="202">
        <v>5</v>
      </c>
      <c r="D5" s="202">
        <v>1</v>
      </c>
      <c r="E5" s="211">
        <v>5</v>
      </c>
      <c r="F5" s="207"/>
      <c r="G5" s="187"/>
      <c r="H5" s="187"/>
      <c r="I5" s="187"/>
      <c r="J5" s="187"/>
      <c r="K5" s="187"/>
      <c r="L5" s="187"/>
      <c r="M5" s="187"/>
      <c r="N5" s="187"/>
    </row>
    <row r="6" spans="1:14" s="185" customFormat="1">
      <c r="A6" s="191" t="s">
        <v>212</v>
      </c>
      <c r="B6" s="191">
        <f t="shared" si="0"/>
        <v>4</v>
      </c>
      <c r="C6" s="202">
        <v>0</v>
      </c>
      <c r="D6" s="202">
        <v>1</v>
      </c>
      <c r="E6" s="211">
        <v>3</v>
      </c>
      <c r="F6" s="207"/>
      <c r="G6" s="187"/>
      <c r="H6" s="187"/>
      <c r="I6" s="187"/>
      <c r="J6" s="187"/>
      <c r="K6" s="187"/>
      <c r="L6" s="187"/>
      <c r="M6" s="187"/>
      <c r="N6" s="187"/>
    </row>
    <row r="7" spans="1:14" s="185" customFormat="1">
      <c r="A7" s="191" t="s">
        <v>501</v>
      </c>
      <c r="B7" s="191">
        <f t="shared" si="0"/>
        <v>11</v>
      </c>
      <c r="C7" s="202">
        <v>0</v>
      </c>
      <c r="D7" s="202">
        <v>1</v>
      </c>
      <c r="E7" s="211">
        <v>10</v>
      </c>
      <c r="F7" s="207"/>
      <c r="G7" s="187"/>
      <c r="H7" s="187"/>
      <c r="I7" s="187" t="s">
        <v>228</v>
      </c>
      <c r="J7" s="187"/>
      <c r="K7" s="187" t="s">
        <v>228</v>
      </c>
      <c r="L7" s="187"/>
      <c r="M7" s="187"/>
      <c r="N7" s="187"/>
    </row>
    <row r="8" spans="1:14" s="185" customFormat="1">
      <c r="A8" s="191" t="s">
        <v>502</v>
      </c>
      <c r="B8" s="191">
        <f t="shared" si="0"/>
        <v>2</v>
      </c>
      <c r="C8" s="202">
        <v>1</v>
      </c>
      <c r="D8" s="202">
        <v>1</v>
      </c>
      <c r="E8" s="211">
        <v>0</v>
      </c>
      <c r="F8" s="207"/>
      <c r="G8" s="187"/>
      <c r="H8" s="187"/>
      <c r="I8" s="187"/>
      <c r="J8" s="187"/>
      <c r="K8" s="187"/>
      <c r="L8" s="187"/>
      <c r="M8" s="187"/>
      <c r="N8" s="187"/>
    </row>
    <row r="9" spans="1:14" s="185" customFormat="1">
      <c r="A9" s="191" t="s">
        <v>503</v>
      </c>
      <c r="B9" s="191">
        <f t="shared" si="0"/>
        <v>16</v>
      </c>
      <c r="C9" s="202">
        <v>0</v>
      </c>
      <c r="D9" s="202">
        <v>1</v>
      </c>
      <c r="E9" s="211">
        <v>15</v>
      </c>
      <c r="F9" s="207" t="s">
        <v>228</v>
      </c>
      <c r="G9" s="187"/>
      <c r="H9" s="187" t="s">
        <v>228</v>
      </c>
      <c r="I9" s="187"/>
      <c r="J9" s="187"/>
      <c r="K9" s="187"/>
      <c r="L9" s="187"/>
      <c r="M9" s="187"/>
      <c r="N9" s="187"/>
    </row>
    <row r="10" spans="1:14" s="185" customFormat="1">
      <c r="A10" s="191" t="s">
        <v>504</v>
      </c>
      <c r="B10" s="191">
        <f t="shared" si="0"/>
        <v>8</v>
      </c>
      <c r="C10" s="202">
        <v>0</v>
      </c>
      <c r="D10" s="202">
        <v>1</v>
      </c>
      <c r="E10" s="211">
        <v>7</v>
      </c>
      <c r="F10" s="207"/>
      <c r="G10" s="187"/>
      <c r="H10" s="187"/>
      <c r="I10" s="187"/>
      <c r="J10" s="187" t="s">
        <v>228</v>
      </c>
      <c r="K10" s="187"/>
      <c r="L10" s="187"/>
      <c r="M10" s="187"/>
      <c r="N10" s="187"/>
    </row>
    <row r="11" spans="1:14" s="185" customFormat="1">
      <c r="A11" s="191" t="s">
        <v>505</v>
      </c>
      <c r="B11" s="191">
        <f t="shared" si="0"/>
        <v>5</v>
      </c>
      <c r="C11" s="202">
        <v>0</v>
      </c>
      <c r="D11" s="202">
        <v>1</v>
      </c>
      <c r="E11" s="1015">
        <v>4</v>
      </c>
      <c r="F11" s="207"/>
      <c r="G11" s="187"/>
      <c r="H11" s="187"/>
      <c r="I11" s="187"/>
      <c r="J11" s="187"/>
      <c r="K11" s="187"/>
      <c r="L11" s="187"/>
      <c r="M11" s="187"/>
      <c r="N11" s="187"/>
    </row>
    <row r="12" spans="1:14" s="185" customFormat="1">
      <c r="A12" s="191" t="s">
        <v>506</v>
      </c>
      <c r="B12" s="191">
        <f t="shared" si="0"/>
        <v>14</v>
      </c>
      <c r="C12" s="202">
        <v>2</v>
      </c>
      <c r="D12" s="202">
        <v>3</v>
      </c>
      <c r="E12" s="211">
        <v>9</v>
      </c>
      <c r="F12" s="207"/>
      <c r="G12" s="187"/>
      <c r="H12" s="187"/>
      <c r="I12" s="187"/>
      <c r="J12" s="187"/>
      <c r="K12" s="187"/>
      <c r="L12" s="187"/>
      <c r="M12" s="187"/>
      <c r="N12" s="187"/>
    </row>
    <row r="13" spans="1:14" s="185" customFormat="1">
      <c r="A13" s="191" t="s">
        <v>507</v>
      </c>
      <c r="B13" s="191">
        <f t="shared" si="0"/>
        <v>14</v>
      </c>
      <c r="C13" s="202">
        <v>1</v>
      </c>
      <c r="D13" s="202">
        <v>1</v>
      </c>
      <c r="E13" s="211">
        <v>12</v>
      </c>
      <c r="F13" s="207"/>
      <c r="G13" s="187"/>
      <c r="H13" s="187"/>
      <c r="I13" s="187"/>
      <c r="J13" s="187"/>
      <c r="K13" s="187"/>
      <c r="L13" s="187" t="s">
        <v>228</v>
      </c>
      <c r="M13" s="187"/>
      <c r="N13" s="187"/>
    </row>
    <row r="14" spans="1:14" s="185" customFormat="1" ht="15" customHeight="1">
      <c r="A14" s="191" t="s">
        <v>508</v>
      </c>
      <c r="B14" s="191">
        <f t="shared" si="0"/>
        <v>0</v>
      </c>
      <c r="C14" s="202"/>
      <c r="D14" s="202"/>
      <c r="E14" s="211"/>
      <c r="F14" s="189"/>
      <c r="G14" s="186"/>
      <c r="H14" s="186"/>
      <c r="I14" s="186"/>
      <c r="J14" s="186"/>
      <c r="K14" s="186"/>
      <c r="L14" s="186"/>
      <c r="M14" s="186"/>
      <c r="N14" s="186"/>
    </row>
    <row r="15" spans="1:14" s="185" customFormat="1" ht="15" customHeight="1">
      <c r="A15" s="191" t="s">
        <v>509</v>
      </c>
      <c r="B15" s="191">
        <f t="shared" si="0"/>
        <v>0</v>
      </c>
      <c r="C15" s="202"/>
      <c r="D15" s="202"/>
      <c r="E15" s="211"/>
      <c r="F15" s="189"/>
      <c r="G15" s="186"/>
      <c r="H15" s="186"/>
      <c r="I15" s="186"/>
      <c r="J15" s="186"/>
      <c r="K15" s="186"/>
      <c r="L15" s="186"/>
      <c r="M15" s="186"/>
      <c r="N15" s="186"/>
    </row>
    <row r="16" spans="1:14" s="185" customFormat="1" ht="15" customHeight="1">
      <c r="A16" s="191" t="s">
        <v>510</v>
      </c>
      <c r="B16" s="191">
        <f t="shared" si="0"/>
        <v>0</v>
      </c>
      <c r="C16" s="202"/>
      <c r="D16" s="202"/>
      <c r="E16" s="211"/>
      <c r="F16" s="189"/>
      <c r="G16" s="186"/>
      <c r="H16" s="186"/>
      <c r="I16" s="186"/>
      <c r="J16" s="186"/>
      <c r="K16" s="186"/>
      <c r="L16" s="186"/>
      <c r="M16" s="186"/>
      <c r="N16" s="186"/>
    </row>
    <row r="17" spans="1:14" s="185" customFormat="1" ht="15" customHeight="1">
      <c r="A17" s="191" t="s">
        <v>511</v>
      </c>
      <c r="B17" s="191">
        <f t="shared" si="0"/>
        <v>0</v>
      </c>
      <c r="C17" s="202"/>
      <c r="D17" s="202"/>
      <c r="E17" s="211"/>
      <c r="F17" s="189"/>
      <c r="G17" s="186"/>
      <c r="H17" s="186"/>
      <c r="I17" s="186"/>
      <c r="J17" s="186"/>
      <c r="K17" s="186"/>
      <c r="L17" s="186"/>
      <c r="M17" s="186"/>
      <c r="N17" s="186"/>
    </row>
    <row r="18" spans="1:14" s="185" customFormat="1" ht="15" customHeight="1">
      <c r="A18" s="191" t="s">
        <v>512</v>
      </c>
      <c r="B18" s="191">
        <f t="shared" si="0"/>
        <v>0</v>
      </c>
      <c r="C18" s="202"/>
      <c r="D18" s="202"/>
      <c r="E18" s="211"/>
      <c r="F18" s="189"/>
      <c r="G18" s="186"/>
      <c r="H18" s="186"/>
      <c r="I18" s="186"/>
      <c r="J18" s="186"/>
      <c r="K18" s="186"/>
      <c r="L18" s="186"/>
      <c r="M18" s="186"/>
      <c r="N18" s="186"/>
    </row>
    <row r="19" spans="1:14" s="185" customFormat="1" ht="15" customHeight="1">
      <c r="A19" s="191" t="s">
        <v>513</v>
      </c>
      <c r="B19" s="191">
        <f t="shared" si="0"/>
        <v>0</v>
      </c>
      <c r="C19" s="202"/>
      <c r="D19" s="202"/>
      <c r="E19" s="211"/>
      <c r="F19" s="189"/>
      <c r="G19" s="186"/>
      <c r="H19" s="186"/>
      <c r="I19" s="186"/>
      <c r="J19" s="186"/>
      <c r="K19" s="186"/>
      <c r="L19" s="186"/>
      <c r="M19" s="186"/>
      <c r="N19" s="186"/>
    </row>
    <row r="20" spans="1:14" s="185" customFormat="1" ht="15.4" customHeight="1" thickBot="1">
      <c r="A20" s="192" t="s">
        <v>514</v>
      </c>
      <c r="B20" s="192">
        <f t="shared" si="0"/>
        <v>0</v>
      </c>
      <c r="C20" s="202"/>
      <c r="D20" s="202"/>
      <c r="E20" s="212"/>
      <c r="F20" s="208"/>
      <c r="G20" s="188"/>
      <c r="H20" s="188"/>
      <c r="I20" s="188"/>
      <c r="J20" s="188"/>
      <c r="K20" s="188"/>
      <c r="L20" s="188"/>
      <c r="M20" s="188"/>
      <c r="N20" s="188"/>
    </row>
    <row r="21" spans="1:14">
      <c r="A21" s="193" t="s">
        <v>474</v>
      </c>
      <c r="B21" s="200">
        <f>SUM(B4:B20)</f>
        <v>89</v>
      </c>
      <c r="C21" s="194">
        <f>SUM(C4:C20)</f>
        <v>9</v>
      </c>
      <c r="D21" s="195">
        <f t="shared" ref="D21:E21" si="1">SUM(D4:D20)</f>
        <v>14</v>
      </c>
      <c r="E21" s="196">
        <f t="shared" si="1"/>
        <v>66</v>
      </c>
      <c r="F21" s="178"/>
      <c r="G21" s="178"/>
      <c r="H21" s="178"/>
      <c r="I21" s="178"/>
      <c r="J21" s="178"/>
      <c r="K21" s="178"/>
      <c r="L21" s="178"/>
      <c r="M21" s="178"/>
      <c r="N21" s="179"/>
    </row>
    <row r="22" spans="1:14" ht="16.5" thickBot="1">
      <c r="A22" s="180" t="s">
        <v>515</v>
      </c>
      <c r="B22" s="201"/>
      <c r="C22" s="197">
        <f>C21/$B$21</f>
        <v>0.10112359550561797</v>
      </c>
      <c r="D22" s="198">
        <f t="shared" ref="D22:E22" si="2">D21/$B$21</f>
        <v>0.15730337078651685</v>
      </c>
      <c r="E22" s="199">
        <f t="shared" si="2"/>
        <v>0.7415730337078652</v>
      </c>
      <c r="F22" s="181"/>
      <c r="G22" s="181"/>
      <c r="H22" s="181"/>
      <c r="I22" s="181"/>
      <c r="J22" s="181"/>
      <c r="K22" s="181"/>
      <c r="L22" s="181"/>
      <c r="M22" s="181"/>
      <c r="N22" s="182"/>
    </row>
  </sheetData>
  <mergeCells count="3">
    <mergeCell ref="F2:N2"/>
    <mergeCell ref="B2:E2"/>
    <mergeCell ref="A1:K1"/>
  </mergeCells>
  <pageMargins left="0.70866141732283472" right="0.70866141732283472" top="0.74803149606299213" bottom="0.74803149606299213" header="0.31496062992125984" footer="0.31496062992125984"/>
  <pageSetup paperSize="9" scale="58" orientation="landscape" horizontalDpi="0" verticalDpi="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DC903-D594-4410-9B2C-610FB8608833}">
  <sheetPr>
    <pageSetUpPr fitToPage="1"/>
  </sheetPr>
  <dimension ref="A1:J43"/>
  <sheetViews>
    <sheetView topLeftCell="A27" zoomScaleNormal="100" workbookViewId="0">
      <selection activeCell="A38" sqref="A38"/>
    </sheetView>
  </sheetViews>
  <sheetFormatPr defaultColWidth="11.42578125" defaultRowHeight="12.75"/>
  <cols>
    <col min="1" max="1" width="12.28515625" style="769" bestFit="1" customWidth="1"/>
    <col min="2" max="2" width="53.28515625" style="720" bestFit="1" customWidth="1"/>
    <col min="3" max="5" width="5.7109375" style="720" customWidth="1"/>
    <col min="6" max="6" width="41.28515625" style="720" customWidth="1"/>
    <col min="7" max="9" width="5.7109375" style="720" customWidth="1"/>
    <col min="10" max="10" width="41.28515625" style="720" customWidth="1"/>
    <col min="11" max="259" width="11.42578125" style="720"/>
    <col min="260" max="260" width="22.42578125" style="720" customWidth="1"/>
    <col min="261" max="261" width="51.42578125" style="720" customWidth="1"/>
    <col min="262" max="264" width="4.7109375" style="720" customWidth="1"/>
    <col min="265" max="265" width="41.28515625" style="720" customWidth="1"/>
    <col min="266" max="515" width="11.42578125" style="720"/>
    <col min="516" max="516" width="22.42578125" style="720" customWidth="1"/>
    <col min="517" max="517" width="51.42578125" style="720" customWidth="1"/>
    <col min="518" max="520" width="4.7109375" style="720" customWidth="1"/>
    <col min="521" max="521" width="41.28515625" style="720" customWidth="1"/>
    <col min="522" max="771" width="11.42578125" style="720"/>
    <col min="772" max="772" width="22.42578125" style="720" customWidth="1"/>
    <col min="773" max="773" width="51.42578125" style="720" customWidth="1"/>
    <col min="774" max="776" width="4.7109375" style="720" customWidth="1"/>
    <col min="777" max="777" width="41.28515625" style="720" customWidth="1"/>
    <col min="778" max="1027" width="11.42578125" style="720"/>
    <col min="1028" max="1028" width="22.42578125" style="720" customWidth="1"/>
    <col min="1029" max="1029" width="51.42578125" style="720" customWidth="1"/>
    <col min="1030" max="1032" width="4.7109375" style="720" customWidth="1"/>
    <col min="1033" max="1033" width="41.28515625" style="720" customWidth="1"/>
    <col min="1034" max="1283" width="11.42578125" style="720"/>
    <col min="1284" max="1284" width="22.42578125" style="720" customWidth="1"/>
    <col min="1285" max="1285" width="51.42578125" style="720" customWidth="1"/>
    <col min="1286" max="1288" width="4.7109375" style="720" customWidth="1"/>
    <col min="1289" max="1289" width="41.28515625" style="720" customWidth="1"/>
    <col min="1290" max="1539" width="11.42578125" style="720"/>
    <col min="1540" max="1540" width="22.42578125" style="720" customWidth="1"/>
    <col min="1541" max="1541" width="51.42578125" style="720" customWidth="1"/>
    <col min="1542" max="1544" width="4.7109375" style="720" customWidth="1"/>
    <col min="1545" max="1545" width="41.28515625" style="720" customWidth="1"/>
    <col min="1546" max="1795" width="11.42578125" style="720"/>
    <col min="1796" max="1796" width="22.42578125" style="720" customWidth="1"/>
    <col min="1797" max="1797" width="51.42578125" style="720" customWidth="1"/>
    <col min="1798" max="1800" width="4.7109375" style="720" customWidth="1"/>
    <col min="1801" max="1801" width="41.28515625" style="720" customWidth="1"/>
    <col min="1802" max="2051" width="11.42578125" style="720"/>
    <col min="2052" max="2052" width="22.42578125" style="720" customWidth="1"/>
    <col min="2053" max="2053" width="51.42578125" style="720" customWidth="1"/>
    <col min="2054" max="2056" width="4.7109375" style="720" customWidth="1"/>
    <col min="2057" max="2057" width="41.28515625" style="720" customWidth="1"/>
    <col min="2058" max="2307" width="11.42578125" style="720"/>
    <col min="2308" max="2308" width="22.42578125" style="720" customWidth="1"/>
    <col min="2309" max="2309" width="51.42578125" style="720" customWidth="1"/>
    <col min="2310" max="2312" width="4.7109375" style="720" customWidth="1"/>
    <col min="2313" max="2313" width="41.28515625" style="720" customWidth="1"/>
    <col min="2314" max="2563" width="11.42578125" style="720"/>
    <col min="2564" max="2564" width="22.42578125" style="720" customWidth="1"/>
    <col min="2565" max="2565" width="51.42578125" style="720" customWidth="1"/>
    <col min="2566" max="2568" width="4.7109375" style="720" customWidth="1"/>
    <col min="2569" max="2569" width="41.28515625" style="720" customWidth="1"/>
    <col min="2570" max="2819" width="11.42578125" style="720"/>
    <col min="2820" max="2820" width="22.42578125" style="720" customWidth="1"/>
    <col min="2821" max="2821" width="51.42578125" style="720" customWidth="1"/>
    <col min="2822" max="2824" width="4.7109375" style="720" customWidth="1"/>
    <col min="2825" max="2825" width="41.28515625" style="720" customWidth="1"/>
    <col min="2826" max="3075" width="11.42578125" style="720"/>
    <col min="3076" max="3076" width="22.42578125" style="720" customWidth="1"/>
    <col min="3077" max="3077" width="51.42578125" style="720" customWidth="1"/>
    <col min="3078" max="3080" width="4.7109375" style="720" customWidth="1"/>
    <col min="3081" max="3081" width="41.28515625" style="720" customWidth="1"/>
    <col min="3082" max="3331" width="11.42578125" style="720"/>
    <col min="3332" max="3332" width="22.42578125" style="720" customWidth="1"/>
    <col min="3333" max="3333" width="51.42578125" style="720" customWidth="1"/>
    <col min="3334" max="3336" width="4.7109375" style="720" customWidth="1"/>
    <col min="3337" max="3337" width="41.28515625" style="720" customWidth="1"/>
    <col min="3338" max="3587" width="11.42578125" style="720"/>
    <col min="3588" max="3588" width="22.42578125" style="720" customWidth="1"/>
    <col min="3589" max="3589" width="51.42578125" style="720" customWidth="1"/>
    <col min="3590" max="3592" width="4.7109375" style="720" customWidth="1"/>
    <col min="3593" max="3593" width="41.28515625" style="720" customWidth="1"/>
    <col min="3594" max="3843" width="11.42578125" style="720"/>
    <col min="3844" max="3844" width="22.42578125" style="720" customWidth="1"/>
    <col min="3845" max="3845" width="51.42578125" style="720" customWidth="1"/>
    <col min="3846" max="3848" width="4.7109375" style="720" customWidth="1"/>
    <col min="3849" max="3849" width="41.28515625" style="720" customWidth="1"/>
    <col min="3850" max="4099" width="11.42578125" style="720"/>
    <col min="4100" max="4100" width="22.42578125" style="720" customWidth="1"/>
    <col min="4101" max="4101" width="51.42578125" style="720" customWidth="1"/>
    <col min="4102" max="4104" width="4.7109375" style="720" customWidth="1"/>
    <col min="4105" max="4105" width="41.28515625" style="720" customWidth="1"/>
    <col min="4106" max="4355" width="11.42578125" style="720"/>
    <col min="4356" max="4356" width="22.42578125" style="720" customWidth="1"/>
    <col min="4357" max="4357" width="51.42578125" style="720" customWidth="1"/>
    <col min="4358" max="4360" width="4.7109375" style="720" customWidth="1"/>
    <col min="4361" max="4361" width="41.28515625" style="720" customWidth="1"/>
    <col min="4362" max="4611" width="11.42578125" style="720"/>
    <col min="4612" max="4612" width="22.42578125" style="720" customWidth="1"/>
    <col min="4613" max="4613" width="51.42578125" style="720" customWidth="1"/>
    <col min="4614" max="4616" width="4.7109375" style="720" customWidth="1"/>
    <col min="4617" max="4617" width="41.28515625" style="720" customWidth="1"/>
    <col min="4618" max="4867" width="11.42578125" style="720"/>
    <col min="4868" max="4868" width="22.42578125" style="720" customWidth="1"/>
    <col min="4869" max="4869" width="51.42578125" style="720" customWidth="1"/>
    <col min="4870" max="4872" width="4.7109375" style="720" customWidth="1"/>
    <col min="4873" max="4873" width="41.28515625" style="720" customWidth="1"/>
    <col min="4874" max="5123" width="11.42578125" style="720"/>
    <col min="5124" max="5124" width="22.42578125" style="720" customWidth="1"/>
    <col min="5125" max="5125" width="51.42578125" style="720" customWidth="1"/>
    <col min="5126" max="5128" width="4.7109375" style="720" customWidth="1"/>
    <col min="5129" max="5129" width="41.28515625" style="720" customWidth="1"/>
    <col min="5130" max="5379" width="11.42578125" style="720"/>
    <col min="5380" max="5380" width="22.42578125" style="720" customWidth="1"/>
    <col min="5381" max="5381" width="51.42578125" style="720" customWidth="1"/>
    <col min="5382" max="5384" width="4.7109375" style="720" customWidth="1"/>
    <col min="5385" max="5385" width="41.28515625" style="720" customWidth="1"/>
    <col min="5386" max="5635" width="11.42578125" style="720"/>
    <col min="5636" max="5636" width="22.42578125" style="720" customWidth="1"/>
    <col min="5637" max="5637" width="51.42578125" style="720" customWidth="1"/>
    <col min="5638" max="5640" width="4.7109375" style="720" customWidth="1"/>
    <col min="5641" max="5641" width="41.28515625" style="720" customWidth="1"/>
    <col min="5642" max="5891" width="11.42578125" style="720"/>
    <col min="5892" max="5892" width="22.42578125" style="720" customWidth="1"/>
    <col min="5893" max="5893" width="51.42578125" style="720" customWidth="1"/>
    <col min="5894" max="5896" width="4.7109375" style="720" customWidth="1"/>
    <col min="5897" max="5897" width="41.28515625" style="720" customWidth="1"/>
    <col min="5898" max="6147" width="11.42578125" style="720"/>
    <col min="6148" max="6148" width="22.42578125" style="720" customWidth="1"/>
    <col min="6149" max="6149" width="51.42578125" style="720" customWidth="1"/>
    <col min="6150" max="6152" width="4.7109375" style="720" customWidth="1"/>
    <col min="6153" max="6153" width="41.28515625" style="720" customWidth="1"/>
    <col min="6154" max="6403" width="11.42578125" style="720"/>
    <col min="6404" max="6404" width="22.42578125" style="720" customWidth="1"/>
    <col min="6405" max="6405" width="51.42578125" style="720" customWidth="1"/>
    <col min="6406" max="6408" width="4.7109375" style="720" customWidth="1"/>
    <col min="6409" max="6409" width="41.28515625" style="720" customWidth="1"/>
    <col min="6410" max="6659" width="11.42578125" style="720"/>
    <col min="6660" max="6660" width="22.42578125" style="720" customWidth="1"/>
    <col min="6661" max="6661" width="51.42578125" style="720" customWidth="1"/>
    <col min="6662" max="6664" width="4.7109375" style="720" customWidth="1"/>
    <col min="6665" max="6665" width="41.28515625" style="720" customWidth="1"/>
    <col min="6666" max="6915" width="11.42578125" style="720"/>
    <col min="6916" max="6916" width="22.42578125" style="720" customWidth="1"/>
    <col min="6917" max="6917" width="51.42578125" style="720" customWidth="1"/>
    <col min="6918" max="6920" width="4.7109375" style="720" customWidth="1"/>
    <col min="6921" max="6921" width="41.28515625" style="720" customWidth="1"/>
    <col min="6922" max="7171" width="11.42578125" style="720"/>
    <col min="7172" max="7172" width="22.42578125" style="720" customWidth="1"/>
    <col min="7173" max="7173" width="51.42578125" style="720" customWidth="1"/>
    <col min="7174" max="7176" width="4.7109375" style="720" customWidth="1"/>
    <col min="7177" max="7177" width="41.28515625" style="720" customWidth="1"/>
    <col min="7178" max="7427" width="11.42578125" style="720"/>
    <col min="7428" max="7428" width="22.42578125" style="720" customWidth="1"/>
    <col min="7429" max="7429" width="51.42578125" style="720" customWidth="1"/>
    <col min="7430" max="7432" width="4.7109375" style="720" customWidth="1"/>
    <col min="7433" max="7433" width="41.28515625" style="720" customWidth="1"/>
    <col min="7434" max="7683" width="11.42578125" style="720"/>
    <col min="7684" max="7684" width="22.42578125" style="720" customWidth="1"/>
    <col min="7685" max="7685" width="51.42578125" style="720" customWidth="1"/>
    <col min="7686" max="7688" width="4.7109375" style="720" customWidth="1"/>
    <col min="7689" max="7689" width="41.28515625" style="720" customWidth="1"/>
    <col min="7690" max="7939" width="11.42578125" style="720"/>
    <col min="7940" max="7940" width="22.42578125" style="720" customWidth="1"/>
    <col min="7941" max="7941" width="51.42578125" style="720" customWidth="1"/>
    <col min="7942" max="7944" width="4.7109375" style="720" customWidth="1"/>
    <col min="7945" max="7945" width="41.28515625" style="720" customWidth="1"/>
    <col min="7946" max="8195" width="11.42578125" style="720"/>
    <col min="8196" max="8196" width="22.42578125" style="720" customWidth="1"/>
    <col min="8197" max="8197" width="51.42578125" style="720" customWidth="1"/>
    <col min="8198" max="8200" width="4.7109375" style="720" customWidth="1"/>
    <col min="8201" max="8201" width="41.28515625" style="720" customWidth="1"/>
    <col min="8202" max="8451" width="11.42578125" style="720"/>
    <col min="8452" max="8452" width="22.42578125" style="720" customWidth="1"/>
    <col min="8453" max="8453" width="51.42578125" style="720" customWidth="1"/>
    <col min="8454" max="8456" width="4.7109375" style="720" customWidth="1"/>
    <col min="8457" max="8457" width="41.28515625" style="720" customWidth="1"/>
    <col min="8458" max="8707" width="11.42578125" style="720"/>
    <col min="8708" max="8708" width="22.42578125" style="720" customWidth="1"/>
    <col min="8709" max="8709" width="51.42578125" style="720" customWidth="1"/>
    <col min="8710" max="8712" width="4.7109375" style="720" customWidth="1"/>
    <col min="8713" max="8713" width="41.28515625" style="720" customWidth="1"/>
    <col min="8714" max="8963" width="11.42578125" style="720"/>
    <col min="8964" max="8964" width="22.42578125" style="720" customWidth="1"/>
    <col min="8965" max="8965" width="51.42578125" style="720" customWidth="1"/>
    <col min="8966" max="8968" width="4.7109375" style="720" customWidth="1"/>
    <col min="8969" max="8969" width="41.28515625" style="720" customWidth="1"/>
    <col min="8970" max="9219" width="11.42578125" style="720"/>
    <col min="9220" max="9220" width="22.42578125" style="720" customWidth="1"/>
    <col min="9221" max="9221" width="51.42578125" style="720" customWidth="1"/>
    <col min="9222" max="9224" width="4.7109375" style="720" customWidth="1"/>
    <col min="9225" max="9225" width="41.28515625" style="720" customWidth="1"/>
    <col min="9226" max="9475" width="11.42578125" style="720"/>
    <col min="9476" max="9476" width="22.42578125" style="720" customWidth="1"/>
    <col min="9477" max="9477" width="51.42578125" style="720" customWidth="1"/>
    <col min="9478" max="9480" width="4.7109375" style="720" customWidth="1"/>
    <col min="9481" max="9481" width="41.28515625" style="720" customWidth="1"/>
    <col min="9482" max="9731" width="11.42578125" style="720"/>
    <col min="9732" max="9732" width="22.42578125" style="720" customWidth="1"/>
    <col min="9733" max="9733" width="51.42578125" style="720" customWidth="1"/>
    <col min="9734" max="9736" width="4.7109375" style="720" customWidth="1"/>
    <col min="9737" max="9737" width="41.28515625" style="720" customWidth="1"/>
    <col min="9738" max="9987" width="11.42578125" style="720"/>
    <col min="9988" max="9988" width="22.42578125" style="720" customWidth="1"/>
    <col min="9989" max="9989" width="51.42578125" style="720" customWidth="1"/>
    <col min="9990" max="9992" width="4.7109375" style="720" customWidth="1"/>
    <col min="9993" max="9993" width="41.28515625" style="720" customWidth="1"/>
    <col min="9994" max="10243" width="11.42578125" style="720"/>
    <col min="10244" max="10244" width="22.42578125" style="720" customWidth="1"/>
    <col min="10245" max="10245" width="51.42578125" style="720" customWidth="1"/>
    <col min="10246" max="10248" width="4.7109375" style="720" customWidth="1"/>
    <col min="10249" max="10249" width="41.28515625" style="720" customWidth="1"/>
    <col min="10250" max="10499" width="11.42578125" style="720"/>
    <col min="10500" max="10500" width="22.42578125" style="720" customWidth="1"/>
    <col min="10501" max="10501" width="51.42578125" style="720" customWidth="1"/>
    <col min="10502" max="10504" width="4.7109375" style="720" customWidth="1"/>
    <col min="10505" max="10505" width="41.28515625" style="720" customWidth="1"/>
    <col min="10506" max="10755" width="11.42578125" style="720"/>
    <col min="10756" max="10756" width="22.42578125" style="720" customWidth="1"/>
    <col min="10757" max="10757" width="51.42578125" style="720" customWidth="1"/>
    <col min="10758" max="10760" width="4.7109375" style="720" customWidth="1"/>
    <col min="10761" max="10761" width="41.28515625" style="720" customWidth="1"/>
    <col min="10762" max="11011" width="11.42578125" style="720"/>
    <col min="11012" max="11012" width="22.42578125" style="720" customWidth="1"/>
    <col min="11013" max="11013" width="51.42578125" style="720" customWidth="1"/>
    <col min="11014" max="11016" width="4.7109375" style="720" customWidth="1"/>
    <col min="11017" max="11017" width="41.28515625" style="720" customWidth="1"/>
    <col min="11018" max="11267" width="11.42578125" style="720"/>
    <col min="11268" max="11268" width="22.42578125" style="720" customWidth="1"/>
    <col min="11269" max="11269" width="51.42578125" style="720" customWidth="1"/>
    <col min="11270" max="11272" width="4.7109375" style="720" customWidth="1"/>
    <col min="11273" max="11273" width="41.28515625" style="720" customWidth="1"/>
    <col min="11274" max="11523" width="11.42578125" style="720"/>
    <col min="11524" max="11524" width="22.42578125" style="720" customWidth="1"/>
    <col min="11525" max="11525" width="51.42578125" style="720" customWidth="1"/>
    <col min="11526" max="11528" width="4.7109375" style="720" customWidth="1"/>
    <col min="11529" max="11529" width="41.28515625" style="720" customWidth="1"/>
    <col min="11530" max="11779" width="11.42578125" style="720"/>
    <col min="11780" max="11780" width="22.42578125" style="720" customWidth="1"/>
    <col min="11781" max="11781" width="51.42578125" style="720" customWidth="1"/>
    <col min="11782" max="11784" width="4.7109375" style="720" customWidth="1"/>
    <col min="11785" max="11785" width="41.28515625" style="720" customWidth="1"/>
    <col min="11786" max="12035" width="11.42578125" style="720"/>
    <col min="12036" max="12036" width="22.42578125" style="720" customWidth="1"/>
    <col min="12037" max="12037" width="51.42578125" style="720" customWidth="1"/>
    <col min="12038" max="12040" width="4.7109375" style="720" customWidth="1"/>
    <col min="12041" max="12041" width="41.28515625" style="720" customWidth="1"/>
    <col min="12042" max="12291" width="11.42578125" style="720"/>
    <col min="12292" max="12292" width="22.42578125" style="720" customWidth="1"/>
    <col min="12293" max="12293" width="51.42578125" style="720" customWidth="1"/>
    <col min="12294" max="12296" width="4.7109375" style="720" customWidth="1"/>
    <col min="12297" max="12297" width="41.28515625" style="720" customWidth="1"/>
    <col min="12298" max="12547" width="11.42578125" style="720"/>
    <col min="12548" max="12548" width="22.42578125" style="720" customWidth="1"/>
    <col min="12549" max="12549" width="51.42578125" style="720" customWidth="1"/>
    <col min="12550" max="12552" width="4.7109375" style="720" customWidth="1"/>
    <col min="12553" max="12553" width="41.28515625" style="720" customWidth="1"/>
    <col min="12554" max="12803" width="11.42578125" style="720"/>
    <col min="12804" max="12804" width="22.42578125" style="720" customWidth="1"/>
    <col min="12805" max="12805" width="51.42578125" style="720" customWidth="1"/>
    <col min="12806" max="12808" width="4.7109375" style="720" customWidth="1"/>
    <col min="12809" max="12809" width="41.28515625" style="720" customWidth="1"/>
    <col min="12810" max="13059" width="11.42578125" style="720"/>
    <col min="13060" max="13060" width="22.42578125" style="720" customWidth="1"/>
    <col min="13061" max="13061" width="51.42578125" style="720" customWidth="1"/>
    <col min="13062" max="13064" width="4.7109375" style="720" customWidth="1"/>
    <col min="13065" max="13065" width="41.28515625" style="720" customWidth="1"/>
    <col min="13066" max="13315" width="11.42578125" style="720"/>
    <col min="13316" max="13316" width="22.42578125" style="720" customWidth="1"/>
    <col min="13317" max="13317" width="51.42578125" style="720" customWidth="1"/>
    <col min="13318" max="13320" width="4.7109375" style="720" customWidth="1"/>
    <col min="13321" max="13321" width="41.28515625" style="720" customWidth="1"/>
    <col min="13322" max="13571" width="11.42578125" style="720"/>
    <col min="13572" max="13572" width="22.42578125" style="720" customWidth="1"/>
    <col min="13573" max="13573" width="51.42578125" style="720" customWidth="1"/>
    <col min="13574" max="13576" width="4.7109375" style="720" customWidth="1"/>
    <col min="13577" max="13577" width="41.28515625" style="720" customWidth="1"/>
    <col min="13578" max="13827" width="11.42578125" style="720"/>
    <col min="13828" max="13828" width="22.42578125" style="720" customWidth="1"/>
    <col min="13829" max="13829" width="51.42578125" style="720" customWidth="1"/>
    <col min="13830" max="13832" width="4.7109375" style="720" customWidth="1"/>
    <col min="13833" max="13833" width="41.28515625" style="720" customWidth="1"/>
    <col min="13834" max="14083" width="11.42578125" style="720"/>
    <col min="14084" max="14084" width="22.42578125" style="720" customWidth="1"/>
    <col min="14085" max="14085" width="51.42578125" style="720" customWidth="1"/>
    <col min="14086" max="14088" width="4.7109375" style="720" customWidth="1"/>
    <col min="14089" max="14089" width="41.28515625" style="720" customWidth="1"/>
    <col min="14090" max="14339" width="11.42578125" style="720"/>
    <col min="14340" max="14340" width="22.42578125" style="720" customWidth="1"/>
    <col min="14341" max="14341" width="51.42578125" style="720" customWidth="1"/>
    <col min="14342" max="14344" width="4.7109375" style="720" customWidth="1"/>
    <col min="14345" max="14345" width="41.28515625" style="720" customWidth="1"/>
    <col min="14346" max="14595" width="11.42578125" style="720"/>
    <col min="14596" max="14596" width="22.42578125" style="720" customWidth="1"/>
    <col min="14597" max="14597" width="51.42578125" style="720" customWidth="1"/>
    <col min="14598" max="14600" width="4.7109375" style="720" customWidth="1"/>
    <col min="14601" max="14601" width="41.28515625" style="720" customWidth="1"/>
    <col min="14602" max="14851" width="11.42578125" style="720"/>
    <col min="14852" max="14852" width="22.42578125" style="720" customWidth="1"/>
    <col min="14853" max="14853" width="51.42578125" style="720" customWidth="1"/>
    <col min="14854" max="14856" width="4.7109375" style="720" customWidth="1"/>
    <col min="14857" max="14857" width="41.28515625" style="720" customWidth="1"/>
    <col min="14858" max="15107" width="11.42578125" style="720"/>
    <col min="15108" max="15108" width="22.42578125" style="720" customWidth="1"/>
    <col min="15109" max="15109" width="51.42578125" style="720" customWidth="1"/>
    <col min="15110" max="15112" width="4.7109375" style="720" customWidth="1"/>
    <col min="15113" max="15113" width="41.28515625" style="720" customWidth="1"/>
    <col min="15114" max="15363" width="11.42578125" style="720"/>
    <col min="15364" max="15364" width="22.42578125" style="720" customWidth="1"/>
    <col min="15365" max="15365" width="51.42578125" style="720" customWidth="1"/>
    <col min="15366" max="15368" width="4.7109375" style="720" customWidth="1"/>
    <col min="15369" max="15369" width="41.28515625" style="720" customWidth="1"/>
    <col min="15370" max="15619" width="11.42578125" style="720"/>
    <col min="15620" max="15620" width="22.42578125" style="720" customWidth="1"/>
    <col min="15621" max="15621" width="51.42578125" style="720" customWidth="1"/>
    <col min="15622" max="15624" width="4.7109375" style="720" customWidth="1"/>
    <col min="15625" max="15625" width="41.28515625" style="720" customWidth="1"/>
    <col min="15626" max="15875" width="11.42578125" style="720"/>
    <col min="15876" max="15876" width="22.42578125" style="720" customWidth="1"/>
    <col min="15877" max="15877" width="51.42578125" style="720" customWidth="1"/>
    <col min="15878" max="15880" width="4.7109375" style="720" customWidth="1"/>
    <col min="15881" max="15881" width="41.28515625" style="720" customWidth="1"/>
    <col min="15882" max="16131" width="11.42578125" style="720"/>
    <col min="16132" max="16132" width="22.42578125" style="720" customWidth="1"/>
    <col min="16133" max="16133" width="51.42578125" style="720" customWidth="1"/>
    <col min="16134" max="16136" width="4.7109375" style="720" customWidth="1"/>
    <col min="16137" max="16137" width="41.28515625" style="720" customWidth="1"/>
    <col min="16138" max="16384" width="11.42578125" style="720"/>
  </cols>
  <sheetData>
    <row r="1" spans="1:10" ht="18.75">
      <c r="A1" s="717" t="s">
        <v>516</v>
      </c>
      <c r="B1" s="718"/>
      <c r="C1" s="718"/>
      <c r="D1" s="718"/>
      <c r="E1" s="718"/>
      <c r="F1" s="718"/>
      <c r="G1" s="719"/>
      <c r="H1" s="718"/>
      <c r="I1" s="718"/>
      <c r="J1" s="718"/>
    </row>
    <row r="2" spans="1:10" ht="16.5" thickBot="1">
      <c r="A2" s="770" t="s">
        <v>517</v>
      </c>
      <c r="B2" s="771"/>
      <c r="C2" s="772"/>
      <c r="D2" s="771"/>
      <c r="E2" s="771"/>
      <c r="F2" s="771"/>
      <c r="G2" s="772"/>
      <c r="H2" s="771"/>
      <c r="I2" s="771"/>
      <c r="J2" s="771"/>
    </row>
    <row r="3" spans="1:10" ht="15" customHeight="1" thickBot="1">
      <c r="A3" s="721"/>
      <c r="B3" s="722"/>
      <c r="C3" s="1271" t="s">
        <v>518</v>
      </c>
      <c r="D3" s="1272"/>
      <c r="E3" s="1273"/>
      <c r="F3" s="722"/>
      <c r="G3" s="1271" t="s">
        <v>519</v>
      </c>
      <c r="H3" s="1272"/>
      <c r="I3" s="1273"/>
      <c r="J3" s="722"/>
    </row>
    <row r="4" spans="1:10" ht="13.5" thickBot="1">
      <c r="A4" s="723" t="s">
        <v>520</v>
      </c>
      <c r="B4" s="724" t="s">
        <v>521</v>
      </c>
      <c r="C4" s="725" t="s">
        <v>185</v>
      </c>
      <c r="D4" s="726" t="s">
        <v>522</v>
      </c>
      <c r="E4" s="727" t="s">
        <v>523</v>
      </c>
      <c r="F4" s="724" t="s">
        <v>346</v>
      </c>
      <c r="G4" s="725" t="s">
        <v>185</v>
      </c>
      <c r="H4" s="726" t="s">
        <v>522</v>
      </c>
      <c r="I4" s="727" t="s">
        <v>523</v>
      </c>
      <c r="J4" s="724" t="s">
        <v>346</v>
      </c>
    </row>
    <row r="5" spans="1:10" s="734" customFormat="1">
      <c r="A5" s="728"/>
      <c r="B5" s="729" t="s">
        <v>524</v>
      </c>
      <c r="C5" s="730"/>
      <c r="D5" s="731"/>
      <c r="E5" s="732"/>
      <c r="F5" s="733"/>
      <c r="G5" s="730"/>
      <c r="H5" s="731"/>
      <c r="I5" s="732"/>
      <c r="J5" s="733"/>
    </row>
    <row r="6" spans="1:10">
      <c r="A6" s="735"/>
      <c r="B6" s="736" t="s">
        <v>525</v>
      </c>
      <c r="C6" s="737"/>
      <c r="D6" s="738"/>
      <c r="E6" s="739"/>
      <c r="F6" s="740"/>
      <c r="G6" s="737"/>
      <c r="H6" s="738"/>
      <c r="I6" s="739"/>
      <c r="J6" s="740"/>
    </row>
    <row r="7" spans="1:10">
      <c r="A7" s="735"/>
      <c r="B7" s="736" t="s">
        <v>526</v>
      </c>
      <c r="C7" s="737"/>
      <c r="D7" s="738"/>
      <c r="E7" s="739"/>
      <c r="F7" s="740"/>
      <c r="G7" s="737"/>
      <c r="H7" s="738"/>
      <c r="I7" s="739"/>
      <c r="J7" s="740"/>
    </row>
    <row r="8" spans="1:10">
      <c r="A8" s="735" t="s">
        <v>527</v>
      </c>
      <c r="B8" s="736" t="s">
        <v>528</v>
      </c>
      <c r="C8" s="737"/>
      <c r="D8" s="738"/>
      <c r="E8" s="739"/>
      <c r="F8" s="740"/>
      <c r="G8" s="737"/>
      <c r="H8" s="738"/>
      <c r="I8" s="739"/>
      <c r="J8" s="740"/>
    </row>
    <row r="9" spans="1:10">
      <c r="A9" s="741" t="s">
        <v>529</v>
      </c>
      <c r="B9" s="736" t="s">
        <v>530</v>
      </c>
      <c r="C9" s="737"/>
      <c r="D9" s="738"/>
      <c r="E9" s="739"/>
      <c r="F9" s="740"/>
      <c r="G9" s="737"/>
      <c r="H9" s="738"/>
      <c r="I9" s="739"/>
      <c r="J9" s="740"/>
    </row>
    <row r="10" spans="1:10">
      <c r="A10" s="735"/>
      <c r="B10" s="736" t="s">
        <v>531</v>
      </c>
      <c r="C10" s="737"/>
      <c r="D10" s="738"/>
      <c r="E10" s="739"/>
      <c r="F10" s="740"/>
      <c r="G10" s="737"/>
      <c r="H10" s="738"/>
      <c r="I10" s="739"/>
      <c r="J10" s="740"/>
    </row>
    <row r="11" spans="1:10">
      <c r="A11" s="735"/>
      <c r="B11" s="736" t="s">
        <v>532</v>
      </c>
      <c r="C11" s="742"/>
      <c r="D11" s="743"/>
      <c r="E11" s="1014"/>
      <c r="F11" s="745"/>
      <c r="G11" s="742"/>
      <c r="H11" s="743"/>
      <c r="I11" s="744"/>
      <c r="J11" s="745"/>
    </row>
    <row r="12" spans="1:10" ht="13.5" thickBot="1">
      <c r="A12" s="746"/>
      <c r="B12" s="747"/>
      <c r="C12" s="748"/>
      <c r="D12" s="749"/>
      <c r="E12" s="750"/>
      <c r="F12" s="751"/>
      <c r="G12" s="748"/>
      <c r="H12" s="749"/>
      <c r="I12" s="750"/>
      <c r="J12" s="751"/>
    </row>
    <row r="13" spans="1:10" s="734" customFormat="1">
      <c r="A13" s="728"/>
      <c r="B13" s="729" t="s">
        <v>533</v>
      </c>
      <c r="C13" s="752"/>
      <c r="D13" s="753"/>
      <c r="E13" s="754"/>
      <c r="F13" s="733"/>
      <c r="G13" s="752"/>
      <c r="H13" s="753"/>
      <c r="I13" s="754"/>
      <c r="J13" s="733"/>
    </row>
    <row r="14" spans="1:10">
      <c r="A14" s="735"/>
      <c r="B14" s="736" t="s">
        <v>534</v>
      </c>
      <c r="C14" s="737"/>
      <c r="D14" s="738"/>
      <c r="E14" s="739"/>
      <c r="F14" s="740"/>
      <c r="G14" s="737"/>
      <c r="H14" s="738"/>
      <c r="I14" s="739"/>
      <c r="J14" s="740"/>
    </row>
    <row r="15" spans="1:10">
      <c r="A15" s="735"/>
      <c r="B15" s="736" t="s">
        <v>535</v>
      </c>
      <c r="C15" s="737"/>
      <c r="D15" s="738"/>
      <c r="E15" s="739"/>
      <c r="F15" s="740"/>
      <c r="G15" s="737"/>
      <c r="H15" s="738"/>
      <c r="I15" s="739"/>
      <c r="J15" s="740"/>
    </row>
    <row r="16" spans="1:10">
      <c r="A16" s="735" t="s">
        <v>536</v>
      </c>
      <c r="B16" s="736" t="s">
        <v>537</v>
      </c>
      <c r="C16" s="737"/>
      <c r="D16" s="738"/>
      <c r="E16" s="739"/>
      <c r="F16" s="740"/>
      <c r="G16" s="737"/>
      <c r="H16" s="738"/>
      <c r="I16" s="739"/>
      <c r="J16" s="740"/>
    </row>
    <row r="17" spans="1:10">
      <c r="A17" s="741" t="s">
        <v>538</v>
      </c>
      <c r="B17" s="736" t="s">
        <v>539</v>
      </c>
      <c r="C17" s="737"/>
      <c r="D17" s="738"/>
      <c r="E17" s="739"/>
      <c r="F17" s="740"/>
      <c r="G17" s="737"/>
      <c r="H17" s="738"/>
      <c r="I17" s="739"/>
      <c r="J17" s="740"/>
    </row>
    <row r="18" spans="1:10">
      <c r="A18" s="735"/>
      <c r="B18" s="736" t="s">
        <v>540</v>
      </c>
      <c r="C18" s="737"/>
      <c r="D18" s="738"/>
      <c r="E18" s="739"/>
      <c r="F18" s="740"/>
      <c r="G18" s="737"/>
      <c r="H18" s="738"/>
      <c r="I18" s="739"/>
      <c r="J18" s="740"/>
    </row>
    <row r="19" spans="1:10" ht="13.5" thickBot="1">
      <c r="A19" s="746"/>
      <c r="B19" s="755"/>
      <c r="C19" s="748"/>
      <c r="D19" s="749"/>
      <c r="E19" s="750"/>
      <c r="F19" s="751"/>
      <c r="G19" s="748"/>
      <c r="H19" s="749"/>
      <c r="I19" s="750"/>
      <c r="J19" s="751"/>
    </row>
    <row r="20" spans="1:10" s="734" customFormat="1">
      <c r="A20" s="728"/>
      <c r="B20" s="729" t="s">
        <v>541</v>
      </c>
      <c r="C20" s="752"/>
      <c r="D20" s="753"/>
      <c r="E20" s="754"/>
      <c r="F20" s="733"/>
      <c r="G20" s="752"/>
      <c r="H20" s="753"/>
      <c r="I20" s="754"/>
      <c r="J20" s="733"/>
    </row>
    <row r="21" spans="1:10">
      <c r="A21" s="735"/>
      <c r="B21" s="736" t="s">
        <v>542</v>
      </c>
      <c r="C21" s="737"/>
      <c r="D21" s="738"/>
      <c r="E21" s="739"/>
      <c r="F21" s="740"/>
      <c r="G21" s="737"/>
      <c r="H21" s="738"/>
      <c r="I21" s="739"/>
      <c r="J21" s="740"/>
    </row>
    <row r="22" spans="1:10">
      <c r="A22" s="735"/>
      <c r="B22" s="736" t="s">
        <v>543</v>
      </c>
      <c r="C22" s="737"/>
      <c r="D22" s="738"/>
      <c r="E22" s="739"/>
      <c r="F22" s="740"/>
      <c r="G22" s="737"/>
      <c r="H22" s="738"/>
      <c r="I22" s="739"/>
      <c r="J22" s="740"/>
    </row>
    <row r="23" spans="1:10">
      <c r="A23" s="735" t="s">
        <v>544</v>
      </c>
      <c r="B23" s="736" t="s">
        <v>545</v>
      </c>
      <c r="C23" s="737"/>
      <c r="D23" s="738"/>
      <c r="E23" s="739"/>
      <c r="F23" s="740"/>
      <c r="G23" s="737"/>
      <c r="H23" s="738"/>
      <c r="I23" s="739"/>
      <c r="J23" s="740"/>
    </row>
    <row r="24" spans="1:10">
      <c r="A24" s="741" t="s">
        <v>546</v>
      </c>
      <c r="B24" s="736" t="s">
        <v>547</v>
      </c>
      <c r="C24" s="737"/>
      <c r="D24" s="738"/>
      <c r="E24" s="739"/>
      <c r="F24" s="740"/>
      <c r="G24" s="737"/>
      <c r="H24" s="738"/>
      <c r="I24" s="739"/>
      <c r="J24" s="740"/>
    </row>
    <row r="25" spans="1:10">
      <c r="A25" s="735"/>
      <c r="B25" s="736" t="s">
        <v>548</v>
      </c>
      <c r="C25" s="737"/>
      <c r="D25" s="738"/>
      <c r="E25" s="739"/>
      <c r="F25" s="740"/>
      <c r="G25" s="737"/>
      <c r="H25" s="738"/>
      <c r="I25" s="739"/>
      <c r="J25" s="740"/>
    </row>
    <row r="26" spans="1:10">
      <c r="A26" s="735"/>
      <c r="B26" s="736" t="s">
        <v>549</v>
      </c>
      <c r="C26" s="737"/>
      <c r="D26" s="738"/>
      <c r="E26" s="739"/>
      <c r="F26" s="740"/>
      <c r="G26" s="737"/>
      <c r="H26" s="738"/>
      <c r="I26" s="739"/>
      <c r="J26" s="740"/>
    </row>
    <row r="27" spans="1:10">
      <c r="A27" s="735"/>
      <c r="B27" s="736" t="s">
        <v>550</v>
      </c>
      <c r="C27" s="742"/>
      <c r="D27" s="743"/>
      <c r="E27" s="744"/>
      <c r="F27" s="745"/>
      <c r="G27" s="742"/>
      <c r="H27" s="743"/>
      <c r="I27" s="744"/>
      <c r="J27" s="745"/>
    </row>
    <row r="28" spans="1:10" ht="13.5" thickBot="1">
      <c r="A28" s="746"/>
      <c r="B28" s="747"/>
      <c r="C28" s="748"/>
      <c r="D28" s="749"/>
      <c r="E28" s="750"/>
      <c r="F28" s="751"/>
      <c r="G28" s="748"/>
      <c r="H28" s="749"/>
      <c r="I28" s="750"/>
      <c r="J28" s="751"/>
    </row>
    <row r="29" spans="1:10" s="734" customFormat="1">
      <c r="A29" s="728"/>
      <c r="B29" s="729" t="s">
        <v>551</v>
      </c>
      <c r="C29" s="752"/>
      <c r="D29" s="753"/>
      <c r="E29" s="754"/>
      <c r="F29" s="733"/>
      <c r="G29" s="752"/>
      <c r="H29" s="753"/>
      <c r="I29" s="754"/>
      <c r="J29" s="733"/>
    </row>
    <row r="30" spans="1:10">
      <c r="A30" s="735"/>
      <c r="B30" s="736" t="s">
        <v>552</v>
      </c>
      <c r="C30" s="737"/>
      <c r="D30" s="738"/>
      <c r="E30" s="739"/>
      <c r="F30" s="740"/>
      <c r="G30" s="737"/>
      <c r="H30" s="738"/>
      <c r="I30" s="739"/>
      <c r="J30" s="740"/>
    </row>
    <row r="31" spans="1:10">
      <c r="A31" s="735" t="s">
        <v>553</v>
      </c>
      <c r="B31" s="736" t="s">
        <v>554</v>
      </c>
      <c r="C31" s="737"/>
      <c r="D31" s="738"/>
      <c r="E31" s="739"/>
      <c r="F31" s="740"/>
      <c r="G31" s="737"/>
      <c r="H31" s="738"/>
      <c r="I31" s="739"/>
      <c r="J31" s="740"/>
    </row>
    <row r="32" spans="1:10">
      <c r="A32" s="741" t="s">
        <v>555</v>
      </c>
      <c r="B32" s="736" t="s">
        <v>556</v>
      </c>
      <c r="C32" s="737"/>
      <c r="D32" s="738"/>
      <c r="E32" s="739"/>
      <c r="F32" s="740"/>
      <c r="G32" s="737"/>
      <c r="H32" s="738"/>
      <c r="I32" s="739"/>
      <c r="J32" s="740"/>
    </row>
    <row r="33" spans="1:10">
      <c r="A33" s="735"/>
      <c r="B33" s="736" t="s">
        <v>557</v>
      </c>
      <c r="C33" s="737"/>
      <c r="D33" s="738"/>
      <c r="E33" s="739"/>
      <c r="F33" s="740"/>
      <c r="G33" s="737"/>
      <c r="H33" s="738"/>
      <c r="I33" s="739"/>
      <c r="J33" s="740"/>
    </row>
    <row r="34" spans="1:10" ht="13.5" thickBot="1">
      <c r="A34" s="746"/>
      <c r="B34" s="755"/>
      <c r="C34" s="748"/>
      <c r="D34" s="749"/>
      <c r="E34" s="750"/>
      <c r="F34" s="751"/>
      <c r="G34" s="748"/>
      <c r="H34" s="749"/>
      <c r="I34" s="750"/>
      <c r="J34" s="751"/>
    </row>
    <row r="35" spans="1:10" s="734" customFormat="1">
      <c r="A35" s="728"/>
      <c r="B35" s="729" t="s">
        <v>558</v>
      </c>
      <c r="C35" s="752"/>
      <c r="D35" s="753"/>
      <c r="E35" s="754"/>
      <c r="F35" s="733"/>
      <c r="G35" s="752"/>
      <c r="H35" s="753"/>
      <c r="I35" s="754"/>
      <c r="J35" s="733"/>
    </row>
    <row r="36" spans="1:10">
      <c r="A36" s="735"/>
      <c r="B36" s="736" t="s">
        <v>559</v>
      </c>
      <c r="C36" s="737"/>
      <c r="D36" s="738"/>
      <c r="E36" s="739"/>
      <c r="F36" s="740"/>
      <c r="G36" s="737"/>
      <c r="H36" s="738"/>
      <c r="I36" s="739"/>
      <c r="J36" s="740"/>
    </row>
    <row r="37" spans="1:10">
      <c r="A37" s="735" t="s">
        <v>560</v>
      </c>
      <c r="B37" s="736" t="s">
        <v>561</v>
      </c>
      <c r="C37" s="737"/>
      <c r="D37" s="738"/>
      <c r="E37" s="739"/>
      <c r="F37" s="740"/>
      <c r="G37" s="737"/>
      <c r="H37" s="738"/>
      <c r="I37" s="739"/>
      <c r="J37" s="740"/>
    </row>
    <row r="38" spans="1:10">
      <c r="A38" s="741" t="s">
        <v>562</v>
      </c>
      <c r="B38" s="736" t="s">
        <v>563</v>
      </c>
      <c r="C38" s="737"/>
      <c r="D38" s="738"/>
      <c r="E38" s="739"/>
      <c r="F38" s="740"/>
      <c r="G38" s="737"/>
      <c r="H38" s="738"/>
      <c r="I38" s="739"/>
      <c r="J38" s="740"/>
    </row>
    <row r="39" spans="1:10">
      <c r="A39" s="735"/>
      <c r="B39" s="756" t="s">
        <v>564</v>
      </c>
      <c r="C39" s="742"/>
      <c r="D39" s="743"/>
      <c r="E39" s="744"/>
      <c r="F39" s="745"/>
      <c r="G39" s="742"/>
      <c r="H39" s="743"/>
      <c r="I39" s="744"/>
      <c r="J39" s="745"/>
    </row>
    <row r="40" spans="1:10" ht="13.5" thickBot="1">
      <c r="A40" s="746"/>
      <c r="B40" s="755"/>
      <c r="C40" s="748"/>
      <c r="D40" s="749"/>
      <c r="E40" s="750"/>
      <c r="F40" s="751"/>
      <c r="G40" s="748"/>
      <c r="H40" s="749"/>
      <c r="I40" s="750"/>
      <c r="J40" s="751"/>
    </row>
    <row r="41" spans="1:10">
      <c r="A41" s="757"/>
      <c r="B41" s="758"/>
      <c r="C41" s="759">
        <f>SUM(C5:C40)</f>
        <v>0</v>
      </c>
      <c r="D41" s="760">
        <f>SUM(D5:D40)</f>
        <v>0</v>
      </c>
      <c r="E41" s="761">
        <f>SUM(E5:E40)</f>
        <v>0</v>
      </c>
      <c r="F41" s="758"/>
      <c r="G41" s="759">
        <f>SUM(G5:G40)</f>
        <v>0</v>
      </c>
      <c r="H41" s="760">
        <f>SUM(H5:H40)</f>
        <v>0</v>
      </c>
      <c r="I41" s="761">
        <f>SUM(I5:I40)</f>
        <v>0</v>
      </c>
      <c r="J41" s="758"/>
    </row>
    <row r="42" spans="1:10">
      <c r="A42" s="762"/>
      <c r="B42" s="756"/>
      <c r="C42" s="763">
        <f>COUNTA(C36:C40,C30:C34,C21:C28,C14:C19,C6:C12)</f>
        <v>0</v>
      </c>
      <c r="D42" s="763">
        <f t="shared" ref="D42:E42" si="0">COUNTA(D36:D40,D30:D34,D21:D28,D14:D19,D6:D12)</f>
        <v>0</v>
      </c>
      <c r="E42" s="763">
        <f t="shared" si="0"/>
        <v>0</v>
      </c>
      <c r="F42" s="756"/>
      <c r="G42" s="763">
        <f t="shared" ref="G42:I42" si="1">COUNTA(G36:G40,G30:G34,G21:G28,G14:G19,G6:G12)</f>
        <v>0</v>
      </c>
      <c r="H42" s="763">
        <f t="shared" si="1"/>
        <v>0</v>
      </c>
      <c r="I42" s="763">
        <f t="shared" si="1"/>
        <v>0</v>
      </c>
      <c r="J42" s="756"/>
    </row>
    <row r="43" spans="1:10" ht="13.5" thickBot="1">
      <c r="A43" s="764"/>
      <c r="B43" s="747"/>
      <c r="C43" s="765" t="e">
        <f>+C41/C42</f>
        <v>#DIV/0!</v>
      </c>
      <c r="D43" s="766" t="e">
        <f t="shared" ref="D43:E43" si="2">+D41/D42</f>
        <v>#DIV/0!</v>
      </c>
      <c r="E43" s="767" t="e">
        <f t="shared" si="2"/>
        <v>#DIV/0!</v>
      </c>
      <c r="F43" s="768" t="e">
        <f>+E43+D43+C43</f>
        <v>#DIV/0!</v>
      </c>
      <c r="G43" s="765" t="e">
        <f>+G41/G42</f>
        <v>#DIV/0!</v>
      </c>
      <c r="H43" s="766" t="e">
        <f t="shared" ref="H43:I43" si="3">+H41/H42</f>
        <v>#DIV/0!</v>
      </c>
      <c r="I43" s="767" t="e">
        <f t="shared" si="3"/>
        <v>#DIV/0!</v>
      </c>
      <c r="J43" s="768" t="e">
        <f>+I43+H43+G43</f>
        <v>#DIV/0!</v>
      </c>
    </row>
  </sheetData>
  <mergeCells count="2">
    <mergeCell ref="C3:E3"/>
    <mergeCell ref="G3:I3"/>
  </mergeCells>
  <pageMargins left="0.70866141732283472" right="0.70866141732283472" top="0.74803149606299213" bottom="0.74803149606299213" header="0.31496062992125984" footer="0.31496062992125984"/>
  <pageSetup paperSize="9" scale="71" orientation="landscape" horizontalDpi="4294967292" verticalDpi="4294967292"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FA7A4-5E7A-4B45-A124-29996F440CE7}">
  <sheetPr>
    <pageSetUpPr fitToPage="1"/>
  </sheetPr>
  <dimension ref="A1:H20"/>
  <sheetViews>
    <sheetView zoomScale="70" zoomScaleNormal="70" workbookViewId="0">
      <selection activeCell="H9" sqref="H9"/>
    </sheetView>
  </sheetViews>
  <sheetFormatPr defaultColWidth="8.7109375" defaultRowHeight="15"/>
  <cols>
    <col min="1" max="1" width="17.7109375" style="9" customWidth="1"/>
    <col min="2" max="2" width="13.7109375" style="9" customWidth="1"/>
    <col min="3" max="4" width="27.7109375" style="9" customWidth="1"/>
    <col min="5" max="5" width="44.140625" style="9" customWidth="1"/>
    <col min="6" max="8" width="27.7109375" style="9" customWidth="1"/>
    <col min="9" max="16384" width="8.7109375" style="9"/>
  </cols>
  <sheetData>
    <row r="1" spans="1:8" ht="21">
      <c r="A1" s="897" t="s">
        <v>47</v>
      </c>
      <c r="B1" s="898"/>
      <c r="C1" s="898"/>
      <c r="D1" s="898"/>
      <c r="E1" s="898"/>
      <c r="F1" s="899" t="s">
        <v>565</v>
      </c>
      <c r="G1" s="900" t="s">
        <v>309</v>
      </c>
      <c r="H1" s="900"/>
    </row>
    <row r="2" spans="1:8" ht="15.75">
      <c r="A2" s="901" t="s">
        <v>214</v>
      </c>
      <c r="B2" s="1274" t="s">
        <v>566</v>
      </c>
      <c r="C2" s="1274"/>
      <c r="D2" s="1274"/>
      <c r="E2" s="1274"/>
      <c r="F2" s="902" t="s">
        <v>567</v>
      </c>
      <c r="G2" s="1275" t="s">
        <v>568</v>
      </c>
      <c r="H2" s="1275"/>
    </row>
    <row r="3" spans="1:8">
      <c r="A3" s="710"/>
      <c r="B3" s="710"/>
      <c r="C3" s="710"/>
      <c r="D3" s="710"/>
      <c r="E3" s="710"/>
      <c r="F3" s="710"/>
      <c r="G3" s="710"/>
      <c r="H3" s="710"/>
    </row>
    <row r="4" spans="1:8" ht="37.5">
      <c r="A4" s="903" t="s">
        <v>388</v>
      </c>
      <c r="B4" s="904" t="s">
        <v>569</v>
      </c>
      <c r="C4" s="904" t="s">
        <v>570</v>
      </c>
      <c r="D4" s="904" t="s">
        <v>371</v>
      </c>
      <c r="E4" s="904" t="s">
        <v>571</v>
      </c>
      <c r="F4" s="904" t="s">
        <v>572</v>
      </c>
      <c r="G4" s="904" t="s">
        <v>573</v>
      </c>
      <c r="H4" s="904" t="s">
        <v>574</v>
      </c>
    </row>
    <row r="5" spans="1:8" ht="60">
      <c r="A5" s="905" t="s">
        <v>575</v>
      </c>
      <c r="B5" s="906" t="s">
        <v>576</v>
      </c>
      <c r="C5" s="906" t="s">
        <v>577</v>
      </c>
      <c r="D5" s="906" t="s">
        <v>578</v>
      </c>
      <c r="E5" s="906" t="s">
        <v>579</v>
      </c>
      <c r="F5" s="906" t="s">
        <v>580</v>
      </c>
      <c r="G5" s="906" t="s">
        <v>581</v>
      </c>
      <c r="H5" s="906" t="s">
        <v>582</v>
      </c>
    </row>
    <row r="6" spans="1:8" s="656" customFormat="1" ht="31.15" customHeight="1">
      <c r="A6" s="711" t="s">
        <v>583</v>
      </c>
      <c r="B6" s="712"/>
      <c r="C6" s="713"/>
      <c r="D6" s="713"/>
      <c r="E6" s="713"/>
      <c r="F6" s="713"/>
      <c r="G6" s="713"/>
      <c r="H6" s="714" t="s">
        <v>584</v>
      </c>
    </row>
    <row r="7" spans="1:8" s="656" customFormat="1" ht="31.15" customHeight="1">
      <c r="A7" s="711" t="s">
        <v>585</v>
      </c>
      <c r="B7" s="712"/>
      <c r="C7" s="713"/>
      <c r="D7" s="713"/>
      <c r="E7" s="713"/>
      <c r="F7" s="713"/>
      <c r="G7" s="713"/>
      <c r="H7" s="714" t="s">
        <v>584</v>
      </c>
    </row>
    <row r="8" spans="1:8" s="656" customFormat="1" ht="31.15" customHeight="1">
      <c r="A8" s="711" t="s">
        <v>586</v>
      </c>
      <c r="B8" s="712"/>
      <c r="C8" s="713"/>
      <c r="D8" s="713"/>
      <c r="E8" s="713"/>
      <c r="F8" s="713"/>
      <c r="G8" s="713"/>
      <c r="H8" s="714"/>
    </row>
    <row r="9" spans="1:8" s="656" customFormat="1" ht="31.15" customHeight="1">
      <c r="A9" s="711" t="s">
        <v>587</v>
      </c>
      <c r="B9" s="712"/>
      <c r="C9" s="713"/>
      <c r="D9" s="713"/>
      <c r="E9" s="713"/>
      <c r="F9" s="713"/>
      <c r="G9" s="713"/>
      <c r="H9" s="714" t="s">
        <v>588</v>
      </c>
    </row>
    <row r="10" spans="1:8" s="656" customFormat="1" ht="31.15" customHeight="1">
      <c r="A10" s="711" t="s">
        <v>589</v>
      </c>
      <c r="B10" s="712"/>
      <c r="C10" s="713"/>
      <c r="D10" s="713"/>
      <c r="E10" s="713"/>
      <c r="F10" s="713"/>
      <c r="G10" s="713"/>
      <c r="H10" s="714" t="s">
        <v>588</v>
      </c>
    </row>
    <row r="11" spans="1:8" s="656" customFormat="1" ht="31.15" customHeight="1">
      <c r="A11" s="711" t="s">
        <v>590</v>
      </c>
      <c r="B11" s="712"/>
      <c r="C11" s="713"/>
      <c r="D11" s="713"/>
      <c r="E11" s="1013"/>
      <c r="F11" s="713"/>
      <c r="G11" s="713"/>
      <c r="H11" s="714"/>
    </row>
    <row r="12" spans="1:8" s="656" customFormat="1" ht="31.15" customHeight="1">
      <c r="A12" s="711" t="s">
        <v>591</v>
      </c>
      <c r="B12" s="712"/>
      <c r="C12" s="713"/>
      <c r="D12" s="713"/>
      <c r="E12" s="713"/>
      <c r="F12" s="713"/>
      <c r="G12" s="713"/>
      <c r="H12" s="714"/>
    </row>
    <row r="13" spans="1:8" s="656" customFormat="1" ht="31.15" customHeight="1">
      <c r="A13" s="711" t="s">
        <v>592</v>
      </c>
      <c r="B13" s="715"/>
      <c r="C13" s="713"/>
      <c r="D13" s="713"/>
      <c r="E13" s="713"/>
      <c r="F13" s="713"/>
      <c r="G13" s="713"/>
      <c r="H13" s="714"/>
    </row>
    <row r="14" spans="1:8" s="656" customFormat="1" ht="31.15" customHeight="1">
      <c r="A14" s="716"/>
      <c r="B14" s="715"/>
      <c r="C14" s="713"/>
      <c r="D14" s="713"/>
      <c r="E14" s="713"/>
      <c r="F14" s="713"/>
      <c r="G14" s="713"/>
      <c r="H14" s="713"/>
    </row>
    <row r="15" spans="1:8" s="656" customFormat="1" ht="31.15" customHeight="1">
      <c r="A15" s="716"/>
      <c r="B15" s="715"/>
      <c r="C15" s="713"/>
      <c r="D15" s="713"/>
      <c r="E15" s="713"/>
      <c r="F15" s="713"/>
      <c r="G15" s="713"/>
      <c r="H15" s="713"/>
    </row>
    <row r="16" spans="1:8" s="656" customFormat="1" ht="31.15" customHeight="1">
      <c r="A16" s="716"/>
      <c r="B16" s="715"/>
      <c r="C16" s="713"/>
      <c r="D16" s="713"/>
      <c r="E16" s="713"/>
      <c r="F16" s="713"/>
      <c r="G16" s="713"/>
      <c r="H16" s="713"/>
    </row>
    <row r="17" spans="1:8" s="656" customFormat="1" ht="31.15" customHeight="1">
      <c r="A17" s="716"/>
      <c r="B17" s="715" t="s">
        <v>593</v>
      </c>
      <c r="C17" s="713"/>
      <c r="D17" s="713"/>
      <c r="E17" s="713"/>
      <c r="F17" s="713"/>
      <c r="G17" s="713"/>
      <c r="H17" s="713"/>
    </row>
    <row r="18" spans="1:8" s="656" customFormat="1" ht="31.15" customHeight="1">
      <c r="A18" s="716"/>
      <c r="B18" s="715"/>
      <c r="C18" s="713"/>
      <c r="D18" s="713"/>
      <c r="E18" s="713"/>
      <c r="F18" s="713"/>
      <c r="G18" s="713"/>
      <c r="H18" s="713"/>
    </row>
    <row r="19" spans="1:8" s="656" customFormat="1" ht="31.15" customHeight="1">
      <c r="A19" s="716"/>
      <c r="B19" s="715"/>
      <c r="C19" s="713"/>
      <c r="D19" s="713"/>
      <c r="E19" s="713"/>
      <c r="F19" s="713"/>
      <c r="G19" s="713"/>
      <c r="H19" s="713"/>
    </row>
    <row r="20" spans="1:8" s="656" customFormat="1" ht="31.15" customHeight="1">
      <c r="A20" s="716"/>
      <c r="B20" s="715"/>
      <c r="C20" s="713"/>
      <c r="D20" s="713"/>
      <c r="E20" s="713"/>
      <c r="F20" s="713"/>
      <c r="G20" s="713"/>
      <c r="H20" s="713"/>
    </row>
  </sheetData>
  <mergeCells count="2">
    <mergeCell ref="B2:E2"/>
    <mergeCell ref="G2:H2"/>
  </mergeCells>
  <pageMargins left="0.70866141732283472" right="0.70866141732283472" top="0.74803149606299213" bottom="0.74803149606299213" header="0.31496062992125984" footer="0.31496062992125984"/>
  <pageSetup paperSize="9" scale="61"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77A2C-8B80-4334-9FA6-A3773B37635F}">
  <sheetPr>
    <pageSetUpPr fitToPage="1"/>
  </sheetPr>
  <dimension ref="A1:G16"/>
  <sheetViews>
    <sheetView zoomScaleNormal="100" workbookViewId="0">
      <selection activeCell="B14" sqref="B14"/>
    </sheetView>
  </sheetViews>
  <sheetFormatPr defaultColWidth="8.7109375" defaultRowHeight="15.75"/>
  <cols>
    <col min="1" max="1" width="8.7109375" style="213"/>
    <col min="2" max="2" width="47.28515625" style="213" bestFit="1" customWidth="1"/>
    <col min="3" max="16384" width="8.7109375" style="213"/>
  </cols>
  <sheetData>
    <row r="1" spans="1:7">
      <c r="A1" s="232" t="s">
        <v>594</v>
      </c>
      <c r="B1" s="230"/>
      <c r="C1" s="230"/>
      <c r="D1" s="230"/>
      <c r="E1" s="230"/>
      <c r="F1" s="230"/>
      <c r="G1" s="230"/>
    </row>
    <row r="2" spans="1:7">
      <c r="B2" s="233" t="s">
        <v>595</v>
      </c>
    </row>
    <row r="3" spans="1:7">
      <c r="B3" s="213" t="s">
        <v>596</v>
      </c>
      <c r="C3" s="213">
        <v>200</v>
      </c>
    </row>
    <row r="4" spans="1:7">
      <c r="B4" s="234" t="s">
        <v>597</v>
      </c>
      <c r="C4" s="238">
        <v>2</v>
      </c>
      <c r="D4" s="238">
        <v>4</v>
      </c>
      <c r="E4" s="238">
        <v>7</v>
      </c>
      <c r="F4" s="238">
        <v>10</v>
      </c>
      <c r="G4" s="238">
        <v>15</v>
      </c>
    </row>
    <row r="5" spans="1:7">
      <c r="B5" s="234" t="s">
        <v>598</v>
      </c>
      <c r="C5" s="238">
        <v>1</v>
      </c>
      <c r="D5" s="238">
        <v>2</v>
      </c>
      <c r="E5" s="238">
        <v>2</v>
      </c>
      <c r="F5" s="238">
        <v>3</v>
      </c>
      <c r="G5" s="238">
        <v>3</v>
      </c>
    </row>
    <row r="6" spans="1:7" ht="18">
      <c r="B6" s="213" t="s">
        <v>599</v>
      </c>
      <c r="C6" s="236" t="s">
        <v>600</v>
      </c>
    </row>
    <row r="7" spans="1:7">
      <c r="B7" s="237" t="s">
        <v>601</v>
      </c>
      <c r="C7" s="239">
        <f>((2*C4)/C5)^2</f>
        <v>16</v>
      </c>
      <c r="D7" s="239">
        <f t="shared" ref="D7:G7" si="0">((2*D4)/D5)^2</f>
        <v>16</v>
      </c>
      <c r="E7" s="239">
        <f t="shared" si="0"/>
        <v>49</v>
      </c>
      <c r="F7" s="239">
        <f t="shared" si="0"/>
        <v>44.44444444444445</v>
      </c>
      <c r="G7" s="239">
        <f t="shared" si="0"/>
        <v>100</v>
      </c>
    </row>
    <row r="11" spans="1:7">
      <c r="E11" s="1008"/>
    </row>
    <row r="12" spans="1:7">
      <c r="A12" s="232" t="s">
        <v>602</v>
      </c>
      <c r="B12" s="230"/>
      <c r="C12" s="230"/>
      <c r="D12" s="230"/>
      <c r="E12" s="230"/>
      <c r="F12" s="230"/>
      <c r="G12" s="230"/>
    </row>
    <row r="13" spans="1:7">
      <c r="B13" s="234" t="s">
        <v>603</v>
      </c>
      <c r="C13" s="240">
        <v>0.05</v>
      </c>
      <c r="D13" s="240">
        <v>0.1</v>
      </c>
      <c r="E13" s="240">
        <v>0.2</v>
      </c>
      <c r="F13" s="240">
        <v>0.3</v>
      </c>
      <c r="G13" s="240">
        <v>0.5</v>
      </c>
    </row>
    <row r="14" spans="1:7">
      <c r="B14" s="234" t="s">
        <v>604</v>
      </c>
      <c r="C14" s="241">
        <v>0.01</v>
      </c>
      <c r="D14" s="241">
        <v>1.4999999999999999E-2</v>
      </c>
      <c r="E14" s="241">
        <v>0.03</v>
      </c>
      <c r="F14" s="241">
        <v>0.05</v>
      </c>
      <c r="G14" s="241">
        <v>7.0000000000000007E-2</v>
      </c>
    </row>
    <row r="15" spans="1:7" ht="18">
      <c r="B15" s="213" t="s">
        <v>605</v>
      </c>
      <c r="C15" s="236" t="s">
        <v>606</v>
      </c>
    </row>
    <row r="16" spans="1:7">
      <c r="B16" s="237" t="s">
        <v>601</v>
      </c>
      <c r="C16" s="239">
        <f>(2/C14)^2*C13*(1-C13)</f>
        <v>1900</v>
      </c>
      <c r="D16" s="239">
        <f t="shared" ref="D16:G16" si="1">(2/D14)^2*D13*(1-D13)</f>
        <v>1600.0000000000005</v>
      </c>
      <c r="E16" s="239">
        <f t="shared" si="1"/>
        <v>711.11111111111131</v>
      </c>
      <c r="F16" s="239">
        <f t="shared" si="1"/>
        <v>336</v>
      </c>
      <c r="G16" s="239">
        <f t="shared" si="1"/>
        <v>204.08163265306121</v>
      </c>
    </row>
  </sheetData>
  <pageMargins left="0.70866141732283472" right="0.70866141732283472" top="0.74803149606299213" bottom="0.74803149606299213" header="0.31496062992125984" footer="0.31496062992125984"/>
  <pageSetup paperSize="9" scale="64" orientation="landscape" horizontalDpi="0" verticalDpi="0" r:id="rId1"/>
  <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DC233-CF29-2B49-8C65-8511A819EA87}">
  <sheetPr>
    <pageSetUpPr fitToPage="1"/>
  </sheetPr>
  <dimension ref="A1:AC57"/>
  <sheetViews>
    <sheetView zoomScale="80" zoomScaleNormal="80" workbookViewId="0"/>
  </sheetViews>
  <sheetFormatPr defaultColWidth="9.28515625" defaultRowHeight="15"/>
  <cols>
    <col min="1" max="1" width="2.28515625" style="340" customWidth="1"/>
    <col min="2" max="2" width="5.7109375" style="340" customWidth="1"/>
    <col min="3" max="3" width="11.28515625" style="340" customWidth="1"/>
    <col min="4" max="4" width="8.7109375" style="340" customWidth="1"/>
    <col min="5" max="5" width="12.28515625" style="340" bestFit="1" customWidth="1"/>
    <col min="6" max="7" width="11.42578125" style="381" customWidth="1"/>
    <col min="8" max="8" width="15.28515625" style="381" customWidth="1"/>
    <col min="9" max="9" width="12.28515625" style="381" customWidth="1"/>
    <col min="10" max="10" width="14.7109375" style="381" customWidth="1"/>
    <col min="11" max="11" width="15.7109375" style="381" customWidth="1"/>
    <col min="12" max="12" width="12.7109375" style="381" customWidth="1"/>
    <col min="13" max="13" width="3.28515625" style="340" customWidth="1"/>
    <col min="14" max="14" width="15" style="340" customWidth="1"/>
    <col min="15" max="15" width="16.7109375" style="340" customWidth="1"/>
    <col min="16" max="16" width="10.7109375" style="340" customWidth="1"/>
    <col min="17" max="17" width="11.28515625" style="340" customWidth="1"/>
    <col min="18" max="18" width="15.7109375" style="340" customWidth="1"/>
    <col min="19" max="19" width="12.42578125" style="340" customWidth="1"/>
    <col min="20" max="20" width="14.28515625" style="340" customWidth="1"/>
    <col min="21" max="21" width="19" style="340" customWidth="1"/>
    <col min="22" max="22" width="18.28515625" style="340" customWidth="1"/>
    <col min="23" max="23" width="3.42578125" style="340" customWidth="1"/>
    <col min="24" max="24" width="16.42578125" style="340" customWidth="1"/>
    <col min="25" max="36" width="9.28515625" style="340"/>
    <col min="37" max="38" width="15" style="340" customWidth="1"/>
    <col min="39" max="16384" width="9.28515625" style="340"/>
  </cols>
  <sheetData>
    <row r="1" spans="1:24" ht="26.65" customHeight="1" thickBot="1">
      <c r="A1" s="1046" t="s">
        <v>607</v>
      </c>
      <c r="B1" s="338"/>
      <c r="C1" s="338"/>
      <c r="D1" s="338"/>
      <c r="E1" s="338"/>
      <c r="F1" s="339"/>
      <c r="G1" s="339"/>
      <c r="H1" s="339"/>
      <c r="I1" s="339"/>
      <c r="J1" s="339"/>
      <c r="K1" s="339"/>
      <c r="L1" s="339"/>
      <c r="P1" s="341"/>
      <c r="S1" s="341" t="s">
        <v>608</v>
      </c>
    </row>
    <row r="2" spans="1:24" ht="15" customHeight="1" thickTop="1">
      <c r="B2" s="1297" t="s">
        <v>609</v>
      </c>
      <c r="C2" s="1299" t="s">
        <v>610</v>
      </c>
      <c r="D2" s="1299" t="s">
        <v>611</v>
      </c>
      <c r="E2" s="1299" t="s">
        <v>612</v>
      </c>
      <c r="F2" s="1296" t="s">
        <v>613</v>
      </c>
      <c r="G2" s="1296"/>
      <c r="H2" s="1296"/>
      <c r="I2" s="1296" t="s">
        <v>614</v>
      </c>
      <c r="J2" s="1296"/>
      <c r="K2" s="1296"/>
      <c r="L2" s="1296"/>
      <c r="M2" s="342"/>
      <c r="N2" s="1290" t="s">
        <v>615</v>
      </c>
      <c r="O2" s="1290"/>
      <c r="P2" s="1290"/>
      <c r="Q2" s="1290"/>
      <c r="R2" s="1290"/>
      <c r="S2" s="343"/>
      <c r="T2" s="344"/>
      <c r="U2" s="342"/>
      <c r="V2" s="342"/>
      <c r="W2" s="345"/>
      <c r="X2"/>
    </row>
    <row r="3" spans="1:24" ht="13.9" customHeight="1">
      <c r="B3" s="1298"/>
      <c r="C3" s="1279"/>
      <c r="D3" s="1279"/>
      <c r="E3" s="1279"/>
      <c r="F3" s="346" t="s">
        <v>616</v>
      </c>
      <c r="G3" s="346" t="s">
        <v>617</v>
      </c>
      <c r="H3" s="346" t="s">
        <v>618</v>
      </c>
      <c r="I3" s="346" t="s">
        <v>616</v>
      </c>
      <c r="J3" s="346" t="s">
        <v>617</v>
      </c>
      <c r="K3" s="346" t="s">
        <v>618</v>
      </c>
      <c r="L3" s="346" t="s">
        <v>619</v>
      </c>
      <c r="N3" s="347"/>
      <c r="O3" s="347"/>
      <c r="P3" s="348" t="str">
        <f>I3</f>
        <v>Part</v>
      </c>
      <c r="Q3" s="348" t="str">
        <f>J3</f>
        <v>Operator</v>
      </c>
      <c r="R3" s="348" t="str">
        <f>K3</f>
        <v>Repeatability</v>
      </c>
      <c r="S3" s="348" t="s">
        <v>619</v>
      </c>
      <c r="T3" s="348" t="s">
        <v>620</v>
      </c>
      <c r="W3" s="349"/>
    </row>
    <row r="4" spans="1:24" ht="18" customHeight="1">
      <c r="B4" s="350">
        <v>1</v>
      </c>
      <c r="C4" s="351">
        <v>1</v>
      </c>
      <c r="D4" s="351">
        <v>1</v>
      </c>
      <c r="E4" s="352"/>
      <c r="F4" s="353">
        <f>SUMIF(  $B$4:$B$43,   "="&amp;B4, $E$4:$E$43 ) / COUNTIF( $B$4:$B$43,  "="&amp;B4  )</f>
        <v>0</v>
      </c>
      <c r="G4" s="353">
        <f t="shared" ref="G4:G43" si="0">SUMIF($C$4:$C$43,"="&amp;C4,$E$4:$E$43)/COUNTIF($C$4:$C$43,"="&amp;C4)</f>
        <v>0</v>
      </c>
      <c r="H4" s="353">
        <f t="shared" ref="H4:H43" si="1">SUMIFS($E$4:$E$43,$B$4:$B$43,"="&amp;B4,$C$4:$C$43,"="&amp;C4)/COUNTIFS($B$4:$B$43,"="&amp;B4,$C$4:$C$43,"="&amp;C4)</f>
        <v>0</v>
      </c>
      <c r="I4" s="353" t="e">
        <f t="shared" ref="I4:J19" si="2">(F4-$E$45)^2</f>
        <v>#DIV/0!</v>
      </c>
      <c r="J4" s="353" t="e">
        <f t="shared" si="2"/>
        <v>#DIV/0!</v>
      </c>
      <c r="K4" s="353">
        <f>(E4-H4)^2</f>
        <v>0</v>
      </c>
      <c r="L4" s="353" t="e">
        <f t="shared" ref="L4:L43" si="3">(E4-$E$45)^2</f>
        <v>#DIV/0!</v>
      </c>
      <c r="N4" s="1281" t="s">
        <v>621</v>
      </c>
      <c r="O4" s="1282"/>
      <c r="P4" s="354">
        <f>SUM(IF(FREQUENCY(B4:B43,B4:B43)&gt;0,1))</f>
        <v>10</v>
      </c>
      <c r="Q4" s="354">
        <f>SUM(IF(FREQUENCY(C4:C43,C4:C43)&gt;0,1))</f>
        <v>2</v>
      </c>
      <c r="R4" s="354">
        <f>SUM(IF(FREQUENCY(D4:D43,D4:D43)&gt;0,1))</f>
        <v>2</v>
      </c>
      <c r="S4" s="354"/>
      <c r="T4" s="355"/>
      <c r="W4" s="349"/>
    </row>
    <row r="5" spans="1:24" ht="18" customHeight="1">
      <c r="B5" s="350">
        <v>1</v>
      </c>
      <c r="C5" s="351">
        <f>C4</f>
        <v>1</v>
      </c>
      <c r="D5" s="351">
        <v>2</v>
      </c>
      <c r="E5" s="352"/>
      <c r="F5" s="353">
        <f t="shared" ref="F5:F43" si="4">SUMIF($B$4:$B$43,"="&amp;B5,$E$4:$E$43)/COUNTIF($B$4:$B$43,"="&amp;B5)</f>
        <v>0</v>
      </c>
      <c r="G5" s="353">
        <f t="shared" si="0"/>
        <v>0</v>
      </c>
      <c r="H5" s="353">
        <f t="shared" si="1"/>
        <v>0</v>
      </c>
      <c r="I5" s="353" t="e">
        <f t="shared" si="2"/>
        <v>#DIV/0!</v>
      </c>
      <c r="J5" s="353" t="e">
        <f t="shared" si="2"/>
        <v>#DIV/0!</v>
      </c>
      <c r="K5" s="353">
        <f t="shared" ref="K5:K43" si="5">(E5-H5)^2</f>
        <v>0</v>
      </c>
      <c r="L5" s="353" t="e">
        <f t="shared" si="3"/>
        <v>#DIV/0!</v>
      </c>
      <c r="N5" s="1281" t="s">
        <v>622</v>
      </c>
      <c r="O5" s="1282"/>
      <c r="P5" s="356" t="e">
        <f>SUM(I4:I43)</f>
        <v>#DIV/0!</v>
      </c>
      <c r="Q5" s="356" t="e">
        <f>SUM(J4:J43)</f>
        <v>#DIV/0!</v>
      </c>
      <c r="R5" s="356">
        <f>SUM(K4:K43)</f>
        <v>0</v>
      </c>
      <c r="S5" s="356" t="e">
        <f>SUM(L4:L43)</f>
        <v>#DIV/0!</v>
      </c>
      <c r="T5" s="357" t="e">
        <f>S5-P5-Q5-R5</f>
        <v>#DIV/0!</v>
      </c>
      <c r="W5" s="349"/>
    </row>
    <row r="6" spans="1:24" ht="18" customHeight="1">
      <c r="B6" s="350">
        <v>2</v>
      </c>
      <c r="C6" s="351">
        <v>1</v>
      </c>
      <c r="D6" s="351">
        <v>1</v>
      </c>
      <c r="E6" s="352"/>
      <c r="F6" s="353">
        <f t="shared" si="4"/>
        <v>0</v>
      </c>
      <c r="G6" s="353">
        <f t="shared" si="0"/>
        <v>0</v>
      </c>
      <c r="H6" s="353">
        <f t="shared" si="1"/>
        <v>0</v>
      </c>
      <c r="I6" s="353" t="e">
        <f t="shared" si="2"/>
        <v>#DIV/0!</v>
      </c>
      <c r="J6" s="353" t="e">
        <f t="shared" si="2"/>
        <v>#DIV/0!</v>
      </c>
      <c r="K6" s="353">
        <f t="shared" si="5"/>
        <v>0</v>
      </c>
      <c r="L6" s="353" t="e">
        <f t="shared" si="3"/>
        <v>#DIV/0!</v>
      </c>
      <c r="N6" s="1281" t="s">
        <v>623</v>
      </c>
      <c r="O6" s="1282"/>
      <c r="P6" s="354">
        <f>P4-1</f>
        <v>9</v>
      </c>
      <c r="Q6" s="354">
        <f>Q4-1</f>
        <v>1</v>
      </c>
      <c r="R6" s="354">
        <f>(P4*Q4*(R4-1))</f>
        <v>20</v>
      </c>
      <c r="S6" s="354">
        <f>(P4*Q4*R4)-1</f>
        <v>39</v>
      </c>
      <c r="T6" s="355">
        <f>P6*Q6</f>
        <v>9</v>
      </c>
      <c r="W6" s="349"/>
    </row>
    <row r="7" spans="1:24" ht="18" customHeight="1">
      <c r="B7" s="350">
        <v>2</v>
      </c>
      <c r="C7" s="351">
        <f t="shared" ref="C7:C23" si="6">C6</f>
        <v>1</v>
      </c>
      <c r="D7" s="351">
        <v>2</v>
      </c>
      <c r="E7" s="352"/>
      <c r="F7" s="353">
        <f t="shared" si="4"/>
        <v>0</v>
      </c>
      <c r="G7" s="353">
        <f t="shared" si="0"/>
        <v>0</v>
      </c>
      <c r="H7" s="353">
        <f t="shared" si="1"/>
        <v>0</v>
      </c>
      <c r="I7" s="353" t="e">
        <f t="shared" si="2"/>
        <v>#DIV/0!</v>
      </c>
      <c r="J7" s="353" t="e">
        <f t="shared" si="2"/>
        <v>#DIV/0!</v>
      </c>
      <c r="K7" s="353">
        <f t="shared" si="5"/>
        <v>0</v>
      </c>
      <c r="L7" s="353" t="e">
        <f t="shared" si="3"/>
        <v>#DIV/0!</v>
      </c>
      <c r="N7" s="1281" t="s">
        <v>624</v>
      </c>
      <c r="O7" s="1282"/>
      <c r="P7" s="356" t="e">
        <f>P5/P6</f>
        <v>#DIV/0!</v>
      </c>
      <c r="Q7" s="356" t="e">
        <f>Q5/Q6</f>
        <v>#DIV/0!</v>
      </c>
      <c r="R7" s="356">
        <f>R5/R6</f>
        <v>0</v>
      </c>
      <c r="S7" s="356"/>
      <c r="T7" s="356" t="e">
        <f>T5/T6</f>
        <v>#DIV/0!</v>
      </c>
      <c r="W7" s="349"/>
    </row>
    <row r="8" spans="1:24" ht="18" customHeight="1">
      <c r="B8" s="350">
        <v>3</v>
      </c>
      <c r="C8" s="351">
        <v>1</v>
      </c>
      <c r="D8" s="351">
        <v>1</v>
      </c>
      <c r="E8" s="352"/>
      <c r="F8" s="353">
        <f t="shared" si="4"/>
        <v>0</v>
      </c>
      <c r="G8" s="353">
        <f t="shared" si="0"/>
        <v>0</v>
      </c>
      <c r="H8" s="353">
        <f t="shared" si="1"/>
        <v>0</v>
      </c>
      <c r="I8" s="353" t="e">
        <f t="shared" si="2"/>
        <v>#DIV/0!</v>
      </c>
      <c r="J8" s="353" t="e">
        <f t="shared" si="2"/>
        <v>#DIV/0!</v>
      </c>
      <c r="K8" s="353">
        <f t="shared" si="5"/>
        <v>0</v>
      </c>
      <c r="L8" s="353" t="e">
        <f t="shared" si="3"/>
        <v>#DIV/0!</v>
      </c>
      <c r="N8" s="1281" t="s">
        <v>625</v>
      </c>
      <c r="O8" s="1282"/>
      <c r="P8" s="356" t="e">
        <f>P7/T7</f>
        <v>#DIV/0!</v>
      </c>
      <c r="Q8" s="356" t="e">
        <f>Q7/T7</f>
        <v>#DIV/0!</v>
      </c>
      <c r="R8" s="358"/>
      <c r="S8" s="358"/>
      <c r="T8" s="356" t="e">
        <f>T7/R7</f>
        <v>#DIV/0!</v>
      </c>
      <c r="W8" s="349"/>
    </row>
    <row r="9" spans="1:24" ht="18" customHeight="1">
      <c r="B9" s="350">
        <v>3</v>
      </c>
      <c r="C9" s="351">
        <f>C8</f>
        <v>1</v>
      </c>
      <c r="D9" s="351">
        <v>2</v>
      </c>
      <c r="E9" s="352"/>
      <c r="F9" s="353">
        <f t="shared" si="4"/>
        <v>0</v>
      </c>
      <c r="G9" s="353">
        <f t="shared" si="0"/>
        <v>0</v>
      </c>
      <c r="H9" s="353">
        <f t="shared" si="1"/>
        <v>0</v>
      </c>
      <c r="I9" s="353" t="e">
        <f t="shared" si="2"/>
        <v>#DIV/0!</v>
      </c>
      <c r="J9" s="353" t="e">
        <f t="shared" si="2"/>
        <v>#DIV/0!</v>
      </c>
      <c r="K9" s="353">
        <f t="shared" si="5"/>
        <v>0</v>
      </c>
      <c r="L9" s="353" t="e">
        <f t="shared" si="3"/>
        <v>#DIV/0!</v>
      </c>
      <c r="N9" s="1281" t="s">
        <v>626</v>
      </c>
      <c r="O9" s="1282"/>
      <c r="P9" s="356" t="e">
        <f>1-_xlfn.F.DIST(P8,P6,T6,TRUE)</f>
        <v>#DIV/0!</v>
      </c>
      <c r="Q9" s="356" t="e">
        <f>1-_xlfn.F.DIST(Q8,Q6,T6,TRUE)</f>
        <v>#DIV/0!</v>
      </c>
      <c r="R9" s="358"/>
      <c r="S9" s="358"/>
      <c r="T9" s="356" t="e">
        <f>1-_xlfn.F.DIST(T8,T6,R6,TRUE)</f>
        <v>#DIV/0!</v>
      </c>
      <c r="W9" s="349"/>
    </row>
    <row r="10" spans="1:24" ht="18" customHeight="1">
      <c r="B10" s="350">
        <v>4</v>
      </c>
      <c r="C10" s="351">
        <v>1</v>
      </c>
      <c r="D10" s="351">
        <v>1</v>
      </c>
      <c r="E10" s="352"/>
      <c r="F10" s="353">
        <f t="shared" si="4"/>
        <v>0</v>
      </c>
      <c r="G10" s="353">
        <f t="shared" si="0"/>
        <v>0</v>
      </c>
      <c r="H10" s="353">
        <f t="shared" si="1"/>
        <v>0</v>
      </c>
      <c r="I10" s="353" t="e">
        <f t="shared" si="2"/>
        <v>#DIV/0!</v>
      </c>
      <c r="J10" s="353" t="e">
        <f t="shared" si="2"/>
        <v>#DIV/0!</v>
      </c>
      <c r="K10" s="353">
        <f t="shared" si="5"/>
        <v>0</v>
      </c>
      <c r="L10" s="353" t="e">
        <f t="shared" si="3"/>
        <v>#DIV/0!</v>
      </c>
      <c r="W10" s="349"/>
    </row>
    <row r="11" spans="1:24" ht="18" customHeight="1">
      <c r="B11" s="350">
        <v>4</v>
      </c>
      <c r="C11" s="351">
        <f t="shared" si="6"/>
        <v>1</v>
      </c>
      <c r="D11" s="351">
        <v>2</v>
      </c>
      <c r="E11" s="1012"/>
      <c r="F11" s="353">
        <f t="shared" si="4"/>
        <v>0</v>
      </c>
      <c r="G11" s="353">
        <f t="shared" si="0"/>
        <v>0</v>
      </c>
      <c r="H11" s="353">
        <f t="shared" si="1"/>
        <v>0</v>
      </c>
      <c r="I11" s="353" t="e">
        <f t="shared" si="2"/>
        <v>#DIV/0!</v>
      </c>
      <c r="J11" s="353" t="e">
        <f t="shared" si="2"/>
        <v>#DIV/0!</v>
      </c>
      <c r="K11" s="353">
        <f t="shared" si="5"/>
        <v>0</v>
      </c>
      <c r="L11" s="353" t="e">
        <f t="shared" si="3"/>
        <v>#DIV/0!</v>
      </c>
      <c r="N11" s="1281" t="s">
        <v>627</v>
      </c>
      <c r="O11" s="1291"/>
      <c r="P11" s="356">
        <v>0.25</v>
      </c>
      <c r="Q11" s="1292" t="e">
        <f>IF(T9&gt;P11,"Interaction is not significant","Interaction is significant")</f>
        <v>#DIV/0!</v>
      </c>
      <c r="R11" s="1293"/>
      <c r="S11" s="1294"/>
      <c r="T11" s="359"/>
      <c r="W11" s="349"/>
    </row>
    <row r="12" spans="1:24" ht="18" customHeight="1">
      <c r="B12" s="350">
        <v>5</v>
      </c>
      <c r="C12" s="351">
        <f t="shared" si="6"/>
        <v>1</v>
      </c>
      <c r="D12" s="351">
        <v>1</v>
      </c>
      <c r="E12" s="352"/>
      <c r="F12" s="353">
        <f t="shared" si="4"/>
        <v>0</v>
      </c>
      <c r="G12" s="353">
        <f t="shared" si="0"/>
        <v>0</v>
      </c>
      <c r="H12" s="353">
        <f t="shared" si="1"/>
        <v>0</v>
      </c>
      <c r="I12" s="353" t="e">
        <f t="shared" si="2"/>
        <v>#DIV/0!</v>
      </c>
      <c r="J12" s="353" t="e">
        <f t="shared" si="2"/>
        <v>#DIV/0!</v>
      </c>
      <c r="K12" s="353">
        <f t="shared" si="5"/>
        <v>0</v>
      </c>
      <c r="L12" s="353" t="e">
        <f t="shared" si="3"/>
        <v>#DIV/0!</v>
      </c>
      <c r="W12" s="349"/>
    </row>
    <row r="13" spans="1:24" ht="18" customHeight="1">
      <c r="B13" s="350">
        <v>5</v>
      </c>
      <c r="C13" s="351">
        <f t="shared" si="6"/>
        <v>1</v>
      </c>
      <c r="D13" s="351">
        <v>2</v>
      </c>
      <c r="E13" s="352"/>
      <c r="F13" s="353">
        <f t="shared" si="4"/>
        <v>0</v>
      </c>
      <c r="G13" s="353">
        <f t="shared" si="0"/>
        <v>0</v>
      </c>
      <c r="H13" s="353">
        <f t="shared" si="1"/>
        <v>0</v>
      </c>
      <c r="I13" s="353" t="e">
        <f t="shared" si="2"/>
        <v>#DIV/0!</v>
      </c>
      <c r="J13" s="353" t="e">
        <f t="shared" si="2"/>
        <v>#DIV/0!</v>
      </c>
      <c r="K13" s="353">
        <f t="shared" si="5"/>
        <v>0</v>
      </c>
      <c r="L13" s="353" t="e">
        <f t="shared" si="3"/>
        <v>#DIV/0!</v>
      </c>
      <c r="N13" s="1295" t="s">
        <v>628</v>
      </c>
      <c r="O13" s="1295"/>
      <c r="P13" s="1295"/>
      <c r="Q13" s="1295"/>
      <c r="R13" s="1295"/>
      <c r="S13" s="360"/>
      <c r="T13" s="27"/>
      <c r="W13" s="349"/>
    </row>
    <row r="14" spans="1:24" ht="18" customHeight="1">
      <c r="B14" s="350">
        <v>6</v>
      </c>
      <c r="C14" s="351">
        <f t="shared" si="6"/>
        <v>1</v>
      </c>
      <c r="D14" s="351">
        <v>1</v>
      </c>
      <c r="E14" s="352"/>
      <c r="F14" s="353">
        <f t="shared" si="4"/>
        <v>0</v>
      </c>
      <c r="G14" s="353">
        <f t="shared" si="0"/>
        <v>0</v>
      </c>
      <c r="H14" s="353">
        <f t="shared" si="1"/>
        <v>0</v>
      </c>
      <c r="I14" s="353" t="e">
        <f t="shared" si="2"/>
        <v>#DIV/0!</v>
      </c>
      <c r="J14" s="353" t="e">
        <f t="shared" si="2"/>
        <v>#DIV/0!</v>
      </c>
      <c r="K14" s="353">
        <f t="shared" si="5"/>
        <v>0</v>
      </c>
      <c r="L14" s="353" t="e">
        <f t="shared" si="3"/>
        <v>#DIV/0!</v>
      </c>
      <c r="N14" s="347"/>
      <c r="O14" s="347"/>
      <c r="P14" s="348" t="str">
        <f>P3</f>
        <v>Part</v>
      </c>
      <c r="Q14" s="348" t="str">
        <f>Q3</f>
        <v>Operator</v>
      </c>
      <c r="R14" s="348" t="str">
        <f>R3</f>
        <v>Repeatability</v>
      </c>
      <c r="S14" s="361"/>
      <c r="W14" s="349"/>
    </row>
    <row r="15" spans="1:24" ht="18" customHeight="1">
      <c r="B15" s="350">
        <v>6</v>
      </c>
      <c r="C15" s="351">
        <f t="shared" si="6"/>
        <v>1</v>
      </c>
      <c r="D15" s="351">
        <v>2</v>
      </c>
      <c r="E15" s="352"/>
      <c r="F15" s="353">
        <f t="shared" si="4"/>
        <v>0</v>
      </c>
      <c r="G15" s="353">
        <f t="shared" si="0"/>
        <v>0</v>
      </c>
      <c r="H15" s="353">
        <f t="shared" si="1"/>
        <v>0</v>
      </c>
      <c r="I15" s="353" t="e">
        <f t="shared" si="2"/>
        <v>#DIV/0!</v>
      </c>
      <c r="J15" s="353" t="e">
        <f t="shared" si="2"/>
        <v>#DIV/0!</v>
      </c>
      <c r="K15" s="353">
        <f t="shared" si="5"/>
        <v>0</v>
      </c>
      <c r="L15" s="353"/>
      <c r="N15" s="1281" t="s">
        <v>621</v>
      </c>
      <c r="O15" s="1282"/>
      <c r="P15" s="354">
        <f>P4</f>
        <v>10</v>
      </c>
      <c r="Q15" s="354">
        <f t="shared" ref="Q15:R16" si="7">Q4</f>
        <v>2</v>
      </c>
      <c r="R15" s="354">
        <f t="shared" si="7"/>
        <v>2</v>
      </c>
      <c r="S15" s="361"/>
      <c r="T15" s="27"/>
      <c r="W15" s="349"/>
    </row>
    <row r="16" spans="1:24" ht="18" customHeight="1">
      <c r="B16" s="350">
        <v>7</v>
      </c>
      <c r="C16" s="351">
        <f t="shared" si="6"/>
        <v>1</v>
      </c>
      <c r="D16" s="351">
        <v>1</v>
      </c>
      <c r="E16" s="352"/>
      <c r="F16" s="353">
        <f t="shared" si="4"/>
        <v>0</v>
      </c>
      <c r="G16" s="353">
        <f t="shared" si="0"/>
        <v>0</v>
      </c>
      <c r="H16" s="353">
        <f t="shared" si="1"/>
        <v>0</v>
      </c>
      <c r="I16" s="353" t="e">
        <f t="shared" si="2"/>
        <v>#DIV/0!</v>
      </c>
      <c r="J16" s="353" t="e">
        <f t="shared" si="2"/>
        <v>#DIV/0!</v>
      </c>
      <c r="K16" s="353">
        <f t="shared" si="5"/>
        <v>0</v>
      </c>
      <c r="L16" s="353" t="e">
        <f t="shared" si="3"/>
        <v>#DIV/0!</v>
      </c>
      <c r="N16" s="1281" t="s">
        <v>622</v>
      </c>
      <c r="O16" s="1282"/>
      <c r="P16" s="356" t="e">
        <f>P5</f>
        <v>#DIV/0!</v>
      </c>
      <c r="Q16" s="356" t="e">
        <f t="shared" si="7"/>
        <v>#DIV/0!</v>
      </c>
      <c r="R16" s="356" t="e">
        <f>S5-Q16-P16</f>
        <v>#DIV/0!</v>
      </c>
      <c r="S16" s="361"/>
      <c r="T16" s="27"/>
      <c r="W16" s="349"/>
    </row>
    <row r="17" spans="2:29" ht="18" customHeight="1">
      <c r="B17" s="350">
        <v>7</v>
      </c>
      <c r="C17" s="351">
        <f t="shared" si="6"/>
        <v>1</v>
      </c>
      <c r="D17" s="351">
        <v>2</v>
      </c>
      <c r="E17" s="352"/>
      <c r="F17" s="353">
        <f t="shared" si="4"/>
        <v>0</v>
      </c>
      <c r="G17" s="353">
        <f t="shared" si="0"/>
        <v>0</v>
      </c>
      <c r="H17" s="353">
        <f t="shared" si="1"/>
        <v>0</v>
      </c>
      <c r="I17" s="353" t="e">
        <f t="shared" si="2"/>
        <v>#DIV/0!</v>
      </c>
      <c r="J17" s="353" t="e">
        <f t="shared" si="2"/>
        <v>#DIV/0!</v>
      </c>
      <c r="K17" s="353">
        <f t="shared" si="5"/>
        <v>0</v>
      </c>
      <c r="L17" s="353" t="e">
        <f t="shared" si="3"/>
        <v>#DIV/0!</v>
      </c>
      <c r="N17" s="1281" t="s">
        <v>623</v>
      </c>
      <c r="O17" s="1282"/>
      <c r="P17" s="354">
        <f>P6</f>
        <v>9</v>
      </c>
      <c r="Q17" s="354">
        <f>Q6</f>
        <v>1</v>
      </c>
      <c r="R17" s="354">
        <f>R6+(P17*Q17)</f>
        <v>29</v>
      </c>
      <c r="S17" s="361"/>
      <c r="T17" s="27"/>
      <c r="W17" s="349"/>
    </row>
    <row r="18" spans="2:29" ht="18" customHeight="1">
      <c r="B18" s="350">
        <v>8</v>
      </c>
      <c r="C18" s="351">
        <f t="shared" si="6"/>
        <v>1</v>
      </c>
      <c r="D18" s="351">
        <v>1</v>
      </c>
      <c r="E18" s="352"/>
      <c r="F18" s="353">
        <f t="shared" si="4"/>
        <v>0</v>
      </c>
      <c r="G18" s="353">
        <f t="shared" si="0"/>
        <v>0</v>
      </c>
      <c r="H18" s="353">
        <f t="shared" si="1"/>
        <v>0</v>
      </c>
      <c r="I18" s="353" t="e">
        <f t="shared" si="2"/>
        <v>#DIV/0!</v>
      </c>
      <c r="J18" s="353" t="e">
        <f t="shared" si="2"/>
        <v>#DIV/0!</v>
      </c>
      <c r="K18" s="353">
        <f t="shared" si="5"/>
        <v>0</v>
      </c>
      <c r="L18" s="353" t="e">
        <f t="shared" si="3"/>
        <v>#DIV/0!</v>
      </c>
      <c r="N18" s="1281" t="s">
        <v>624</v>
      </c>
      <c r="O18" s="1282"/>
      <c r="P18" s="356" t="e">
        <f>P16/P17</f>
        <v>#DIV/0!</v>
      </c>
      <c r="Q18" s="356" t="e">
        <f>Q16/Q17</f>
        <v>#DIV/0!</v>
      </c>
      <c r="R18" s="356" t="e">
        <f>R16/R17</f>
        <v>#DIV/0!</v>
      </c>
      <c r="S18" s="361"/>
      <c r="W18" s="349"/>
    </row>
    <row r="19" spans="2:29" ht="18" customHeight="1">
      <c r="B19" s="350">
        <v>8</v>
      </c>
      <c r="C19" s="351">
        <f t="shared" si="6"/>
        <v>1</v>
      </c>
      <c r="D19" s="351">
        <v>2</v>
      </c>
      <c r="E19" s="352"/>
      <c r="F19" s="353">
        <f t="shared" si="4"/>
        <v>0</v>
      </c>
      <c r="G19" s="353">
        <f t="shared" si="0"/>
        <v>0</v>
      </c>
      <c r="H19" s="353">
        <f t="shared" si="1"/>
        <v>0</v>
      </c>
      <c r="I19" s="353" t="e">
        <f t="shared" si="2"/>
        <v>#DIV/0!</v>
      </c>
      <c r="J19" s="353" t="e">
        <f t="shared" si="2"/>
        <v>#DIV/0!</v>
      </c>
      <c r="K19" s="353">
        <f t="shared" si="5"/>
        <v>0</v>
      </c>
      <c r="L19" s="353" t="e">
        <f t="shared" si="3"/>
        <v>#DIV/0!</v>
      </c>
      <c r="N19" s="362"/>
      <c r="O19" s="362"/>
      <c r="P19" s="363"/>
      <c r="Q19" s="363"/>
      <c r="R19" s="363"/>
      <c r="W19" s="349"/>
    </row>
    <row r="20" spans="2:29" ht="18" customHeight="1">
      <c r="B20" s="350">
        <v>9</v>
      </c>
      <c r="C20" s="351">
        <f t="shared" si="6"/>
        <v>1</v>
      </c>
      <c r="D20" s="351">
        <v>1</v>
      </c>
      <c r="E20" s="352"/>
      <c r="F20" s="353">
        <f t="shared" si="4"/>
        <v>0</v>
      </c>
      <c r="G20" s="353">
        <f t="shared" si="0"/>
        <v>0</v>
      </c>
      <c r="H20" s="353">
        <f t="shared" si="1"/>
        <v>0</v>
      </c>
      <c r="I20" s="353" t="e">
        <f t="shared" ref="I20:J39" si="8">(F20-$E$45)^2</f>
        <v>#DIV/0!</v>
      </c>
      <c r="J20" s="353" t="e">
        <f t="shared" si="8"/>
        <v>#DIV/0!</v>
      </c>
      <c r="K20" s="353">
        <f t="shared" si="5"/>
        <v>0</v>
      </c>
      <c r="L20" s="353" t="e">
        <f t="shared" si="3"/>
        <v>#DIV/0!</v>
      </c>
      <c r="P20" s="1279" t="s">
        <v>629</v>
      </c>
      <c r="Q20" s="1279" t="s">
        <v>617</v>
      </c>
      <c r="R20" s="1279" t="s">
        <v>618</v>
      </c>
      <c r="S20" s="1279" t="s">
        <v>630</v>
      </c>
      <c r="T20" s="1279" t="s">
        <v>620</v>
      </c>
      <c r="U20" s="1279" t="s">
        <v>631</v>
      </c>
      <c r="V20" s="1279" t="s">
        <v>632</v>
      </c>
      <c r="W20" s="349"/>
      <c r="Y20" s="340" t="s">
        <v>633</v>
      </c>
    </row>
    <row r="21" spans="2:29" ht="18" customHeight="1">
      <c r="B21" s="350">
        <v>9</v>
      </c>
      <c r="C21" s="351">
        <f t="shared" si="6"/>
        <v>1</v>
      </c>
      <c r="D21" s="351">
        <v>2</v>
      </c>
      <c r="E21" s="352"/>
      <c r="F21" s="353">
        <f t="shared" si="4"/>
        <v>0</v>
      </c>
      <c r="G21" s="353">
        <f t="shared" si="0"/>
        <v>0</v>
      </c>
      <c r="H21" s="353">
        <f t="shared" si="1"/>
        <v>0</v>
      </c>
      <c r="I21" s="353" t="e">
        <f t="shared" si="8"/>
        <v>#DIV/0!</v>
      </c>
      <c r="J21" s="353" t="e">
        <f t="shared" si="8"/>
        <v>#DIV/0!</v>
      </c>
      <c r="K21" s="353">
        <f t="shared" si="5"/>
        <v>0</v>
      </c>
      <c r="L21" s="353" t="e">
        <f t="shared" si="3"/>
        <v>#DIV/0!</v>
      </c>
      <c r="P21" s="1280"/>
      <c r="Q21" s="1280"/>
      <c r="R21" s="1280"/>
      <c r="S21" s="1280"/>
      <c r="T21" s="1280"/>
      <c r="U21" s="1280"/>
      <c r="V21" s="1280"/>
      <c r="W21" s="349"/>
      <c r="Z21" s="340" t="str">
        <f>V20</f>
        <v>TOTAL Gauge R&amp;R</v>
      </c>
      <c r="AA21" s="340" t="str">
        <f>R20</f>
        <v>Repeatability</v>
      </c>
      <c r="AB21" s="340" t="str">
        <f>U20</f>
        <v>Reproducibility</v>
      </c>
      <c r="AC21" s="340" t="str">
        <f>P20</f>
        <v>Part-to-part</v>
      </c>
    </row>
    <row r="22" spans="2:29" ht="18" customHeight="1" thickBot="1">
      <c r="B22" s="350">
        <v>10</v>
      </c>
      <c r="C22" s="351">
        <f t="shared" si="6"/>
        <v>1</v>
      </c>
      <c r="D22" s="351">
        <v>1</v>
      </c>
      <c r="E22" s="352"/>
      <c r="F22" s="353">
        <f t="shared" si="4"/>
        <v>0</v>
      </c>
      <c r="G22" s="353">
        <f t="shared" si="0"/>
        <v>0</v>
      </c>
      <c r="H22" s="353">
        <f t="shared" si="1"/>
        <v>0</v>
      </c>
      <c r="I22" s="353" t="e">
        <f t="shared" si="8"/>
        <v>#DIV/0!</v>
      </c>
      <c r="J22" s="353" t="e">
        <f t="shared" si="8"/>
        <v>#DIV/0!</v>
      </c>
      <c r="K22" s="353">
        <f t="shared" si="5"/>
        <v>0</v>
      </c>
      <c r="L22" s="353" t="e">
        <f t="shared" si="3"/>
        <v>#DIV/0!</v>
      </c>
      <c r="N22" s="1281" t="s">
        <v>634</v>
      </c>
      <c r="O22" s="1282"/>
      <c r="P22" s="364" t="e">
        <f>MAX(0,IF(Q11="Interaction is not significant",(P18-R18)/(Q15*R15),(P7-T7)/(Q4*R4)))</f>
        <v>#DIV/0!</v>
      </c>
      <c r="Q22" s="356" t="e">
        <f>MAX(0,IF(Q11="Interaction is not significant",(Q18-R18)/(P15*R15),(Q7-T7)/(P4*R4)))</f>
        <v>#DIV/0!</v>
      </c>
      <c r="R22" s="364" t="e">
        <f>MAX(0,IF(Q11="Interaction is not significant",R18,R7))</f>
        <v>#DIV/0!</v>
      </c>
      <c r="S22" s="356" t="e">
        <f>P22+V22</f>
        <v>#DIV/0!</v>
      </c>
      <c r="T22" s="356" t="e">
        <f>MAX(0,IF(Q11="Interaction is not significant",0,(T7-R7)/R4))</f>
        <v>#DIV/0!</v>
      </c>
      <c r="U22" s="364" t="e">
        <f>Q22+T22</f>
        <v>#DIV/0!</v>
      </c>
      <c r="V22" s="364" t="e">
        <f>U22+R22</f>
        <v>#DIV/0!</v>
      </c>
      <c r="W22" s="349"/>
      <c r="Y22" s="340" t="str">
        <f>N23</f>
        <v>R&amp;R %Contribution</v>
      </c>
      <c r="Z22" s="365" t="e">
        <f>V23</f>
        <v>#DIV/0!</v>
      </c>
      <c r="AA22" s="365" t="e">
        <f>R23</f>
        <v>#DIV/0!</v>
      </c>
      <c r="AB22" s="365" t="e">
        <f>U23</f>
        <v>#DIV/0!</v>
      </c>
      <c r="AC22" s="365" t="e">
        <f>P23</f>
        <v>#DIV/0!</v>
      </c>
    </row>
    <row r="23" spans="2:29" ht="18" customHeight="1" thickBot="1">
      <c r="B23" s="350">
        <v>10</v>
      </c>
      <c r="C23" s="351">
        <f t="shared" si="6"/>
        <v>1</v>
      </c>
      <c r="D23" s="351">
        <v>2</v>
      </c>
      <c r="E23" s="352"/>
      <c r="F23" s="353">
        <f t="shared" si="4"/>
        <v>0</v>
      </c>
      <c r="G23" s="353">
        <f t="shared" si="0"/>
        <v>0</v>
      </c>
      <c r="H23" s="353">
        <f t="shared" si="1"/>
        <v>0</v>
      </c>
      <c r="I23" s="353" t="e">
        <f t="shared" si="8"/>
        <v>#DIV/0!</v>
      </c>
      <c r="J23" s="353" t="e">
        <f t="shared" si="8"/>
        <v>#DIV/0!</v>
      </c>
      <c r="K23" s="353">
        <f t="shared" si="5"/>
        <v>0</v>
      </c>
      <c r="L23" s="353" t="e">
        <f t="shared" si="3"/>
        <v>#DIV/0!</v>
      </c>
      <c r="N23" s="1281" t="s">
        <v>635</v>
      </c>
      <c r="O23" s="1282"/>
      <c r="P23" s="366" t="e">
        <f t="shared" ref="P23:V23" si="9">P22/($V$22+$P$22)</f>
        <v>#DIV/0!</v>
      </c>
      <c r="Q23" s="366" t="e">
        <f t="shared" si="9"/>
        <v>#DIV/0!</v>
      </c>
      <c r="R23" s="366" t="e">
        <f t="shared" si="9"/>
        <v>#DIV/0!</v>
      </c>
      <c r="S23" s="366" t="e">
        <f t="shared" si="9"/>
        <v>#DIV/0!</v>
      </c>
      <c r="T23" s="366" t="e">
        <f t="shared" si="9"/>
        <v>#DIV/0!</v>
      </c>
      <c r="U23" s="367" t="e">
        <f t="shared" si="9"/>
        <v>#DIV/0!</v>
      </c>
      <c r="V23" s="368" t="e">
        <f t="shared" si="9"/>
        <v>#DIV/0!</v>
      </c>
      <c r="W23" s="349"/>
      <c r="Y23" s="340" t="str">
        <f>N25</f>
        <v>R&amp;R %Study Variation</v>
      </c>
      <c r="Z23" s="365" t="e">
        <f>V25</f>
        <v>#DIV/0!</v>
      </c>
      <c r="AA23" s="365" t="e">
        <f>R25</f>
        <v>#DIV/0!</v>
      </c>
      <c r="AB23" s="365" t="e">
        <f>U25</f>
        <v>#DIV/0!</v>
      </c>
      <c r="AC23" s="365" t="e">
        <f>P25</f>
        <v>#DIV/0!</v>
      </c>
    </row>
    <row r="24" spans="2:29" ht="18" customHeight="1" thickBot="1">
      <c r="B24" s="350">
        <v>1</v>
      </c>
      <c r="C24" s="351">
        <v>2</v>
      </c>
      <c r="D24" s="351">
        <v>1</v>
      </c>
      <c r="E24" s="352"/>
      <c r="F24" s="353">
        <f t="shared" si="4"/>
        <v>0</v>
      </c>
      <c r="G24" s="353">
        <f t="shared" si="0"/>
        <v>0</v>
      </c>
      <c r="H24" s="353">
        <f t="shared" si="1"/>
        <v>0</v>
      </c>
      <c r="I24" s="353" t="e">
        <f t="shared" si="8"/>
        <v>#DIV/0!</v>
      </c>
      <c r="J24" s="353" t="e">
        <f t="shared" si="8"/>
        <v>#DIV/0!</v>
      </c>
      <c r="K24" s="353">
        <f t="shared" si="5"/>
        <v>0</v>
      </c>
      <c r="L24" s="353" t="e">
        <f t="shared" si="3"/>
        <v>#DIV/0!</v>
      </c>
      <c r="N24" s="1281" t="s">
        <v>636</v>
      </c>
      <c r="O24" s="1282"/>
      <c r="P24" s="369" t="e">
        <f t="shared" ref="P24:V24" si="10">SQRT(P22)</f>
        <v>#DIV/0!</v>
      </c>
      <c r="Q24" s="356" t="e">
        <f t="shared" si="10"/>
        <v>#DIV/0!</v>
      </c>
      <c r="R24" s="369" t="e">
        <f t="shared" si="10"/>
        <v>#DIV/0!</v>
      </c>
      <c r="S24" s="356" t="e">
        <f t="shared" si="10"/>
        <v>#DIV/0!</v>
      </c>
      <c r="T24" s="356" t="e">
        <f t="shared" si="10"/>
        <v>#DIV/0!</v>
      </c>
      <c r="U24" s="369" t="e">
        <f t="shared" si="10"/>
        <v>#DIV/0!</v>
      </c>
      <c r="V24" s="369" t="e">
        <f t="shared" si="10"/>
        <v>#DIV/0!</v>
      </c>
      <c r="W24" s="349"/>
    </row>
    <row r="25" spans="2:29" ht="18" customHeight="1" thickBot="1">
      <c r="B25" s="350">
        <v>1</v>
      </c>
      <c r="C25" s="351">
        <v>2</v>
      </c>
      <c r="D25" s="351">
        <v>2</v>
      </c>
      <c r="E25" s="352"/>
      <c r="F25" s="353">
        <f t="shared" si="4"/>
        <v>0</v>
      </c>
      <c r="G25" s="353">
        <f t="shared" si="0"/>
        <v>0</v>
      </c>
      <c r="H25" s="353">
        <f t="shared" si="1"/>
        <v>0</v>
      </c>
      <c r="I25" s="353" t="e">
        <f t="shared" si="8"/>
        <v>#DIV/0!</v>
      </c>
      <c r="J25" s="353" t="e">
        <f t="shared" si="8"/>
        <v>#DIV/0!</v>
      </c>
      <c r="K25" s="353">
        <f t="shared" si="5"/>
        <v>0</v>
      </c>
      <c r="L25" s="353" t="e">
        <f t="shared" si="3"/>
        <v>#DIV/0!</v>
      </c>
      <c r="N25" s="1281" t="s">
        <v>637</v>
      </c>
      <c r="O25" s="1282"/>
      <c r="P25" s="366" t="e">
        <f t="shared" ref="P25:V25" si="11">P24/$S$24</f>
        <v>#DIV/0!</v>
      </c>
      <c r="Q25" s="366" t="e">
        <f t="shared" si="11"/>
        <v>#DIV/0!</v>
      </c>
      <c r="R25" s="366" t="e">
        <f t="shared" si="11"/>
        <v>#DIV/0!</v>
      </c>
      <c r="S25" s="366" t="e">
        <f t="shared" si="11"/>
        <v>#DIV/0!</v>
      </c>
      <c r="T25" s="366" t="e">
        <f t="shared" si="11"/>
        <v>#DIV/0!</v>
      </c>
      <c r="U25" s="367" t="e">
        <f t="shared" si="11"/>
        <v>#DIV/0!</v>
      </c>
      <c r="V25" s="370" t="e">
        <f t="shared" si="11"/>
        <v>#DIV/0!</v>
      </c>
      <c r="W25" s="349"/>
    </row>
    <row r="26" spans="2:29" ht="18" customHeight="1" thickBot="1">
      <c r="B26" s="350">
        <v>2</v>
      </c>
      <c r="C26" s="351">
        <v>2</v>
      </c>
      <c r="D26" s="351">
        <v>1</v>
      </c>
      <c r="E26" s="352"/>
      <c r="F26" s="353">
        <f t="shared" si="4"/>
        <v>0</v>
      </c>
      <c r="G26" s="353">
        <f t="shared" si="0"/>
        <v>0</v>
      </c>
      <c r="H26" s="353">
        <f t="shared" si="1"/>
        <v>0</v>
      </c>
      <c r="I26" s="353" t="e">
        <f t="shared" si="8"/>
        <v>#DIV/0!</v>
      </c>
      <c r="J26" s="353" t="e">
        <f t="shared" si="8"/>
        <v>#DIV/0!</v>
      </c>
      <c r="K26" s="353">
        <f t="shared" si="5"/>
        <v>0</v>
      </c>
      <c r="L26" s="353" t="e">
        <f t="shared" si="3"/>
        <v>#DIV/0!</v>
      </c>
      <c r="N26" s="1283"/>
      <c r="O26" s="1283"/>
      <c r="W26" s="349"/>
    </row>
    <row r="27" spans="2:29" ht="18" customHeight="1" thickBot="1">
      <c r="B27" s="350">
        <v>2</v>
      </c>
      <c r="C27" s="351">
        <v>2</v>
      </c>
      <c r="D27" s="351">
        <v>2</v>
      </c>
      <c r="E27" s="352"/>
      <c r="F27" s="353">
        <f t="shared" si="4"/>
        <v>0</v>
      </c>
      <c r="G27" s="353">
        <f t="shared" si="0"/>
        <v>0</v>
      </c>
      <c r="H27" s="353">
        <f t="shared" si="1"/>
        <v>0</v>
      </c>
      <c r="I27" s="353" t="e">
        <f t="shared" si="8"/>
        <v>#DIV/0!</v>
      </c>
      <c r="J27" s="353" t="e">
        <f t="shared" si="8"/>
        <v>#DIV/0!</v>
      </c>
      <c r="K27" s="353">
        <f t="shared" si="5"/>
        <v>0</v>
      </c>
      <c r="L27" s="353" t="e">
        <f t="shared" si="3"/>
        <v>#DIV/0!</v>
      </c>
      <c r="N27" s="1281" t="s">
        <v>638</v>
      </c>
      <c r="O27" s="1282"/>
      <c r="P27" s="371" t="e">
        <f>MAX(1,TRUNC((P24/V24)*1.41))</f>
        <v>#DIV/0!</v>
      </c>
      <c r="Q27" s="27"/>
      <c r="R27" s="372"/>
      <c r="W27" s="349"/>
    </row>
    <row r="28" spans="2:29" ht="18" customHeight="1">
      <c r="B28" s="350">
        <v>3</v>
      </c>
      <c r="C28" s="351">
        <v>2</v>
      </c>
      <c r="D28" s="351">
        <v>1</v>
      </c>
      <c r="E28" s="352"/>
      <c r="F28" s="353">
        <f t="shared" si="4"/>
        <v>0</v>
      </c>
      <c r="G28" s="353">
        <f t="shared" si="0"/>
        <v>0</v>
      </c>
      <c r="H28" s="353">
        <f t="shared" si="1"/>
        <v>0</v>
      </c>
      <c r="I28" s="353" t="e">
        <f t="shared" si="8"/>
        <v>#DIV/0!</v>
      </c>
      <c r="J28" s="353" t="e">
        <f t="shared" si="8"/>
        <v>#DIV/0!</v>
      </c>
      <c r="K28" s="353">
        <f t="shared" si="5"/>
        <v>0</v>
      </c>
      <c r="L28" s="353" t="e">
        <f t="shared" si="3"/>
        <v>#DIV/0!</v>
      </c>
      <c r="N28" s="27"/>
      <c r="O28" s="27"/>
      <c r="P28" s="27"/>
      <c r="Q28" s="27"/>
      <c r="R28" s="372"/>
      <c r="W28" s="349"/>
    </row>
    <row r="29" spans="2:29" ht="18" customHeight="1">
      <c r="B29" s="350">
        <v>3</v>
      </c>
      <c r="C29" s="351">
        <v>2</v>
      </c>
      <c r="D29" s="351">
        <v>2</v>
      </c>
      <c r="E29" s="352"/>
      <c r="F29" s="353">
        <f t="shared" si="4"/>
        <v>0</v>
      </c>
      <c r="G29" s="353">
        <f t="shared" si="0"/>
        <v>0</v>
      </c>
      <c r="H29" s="353">
        <f t="shared" si="1"/>
        <v>0</v>
      </c>
      <c r="I29" s="353" t="e">
        <f t="shared" si="8"/>
        <v>#DIV/0!</v>
      </c>
      <c r="J29" s="353" t="e">
        <f t="shared" si="8"/>
        <v>#DIV/0!</v>
      </c>
      <c r="K29" s="353">
        <f t="shared" si="5"/>
        <v>0</v>
      </c>
      <c r="L29" s="353" t="e">
        <f t="shared" si="3"/>
        <v>#DIV/0!</v>
      </c>
      <c r="N29" s="27"/>
      <c r="O29" s="27"/>
      <c r="P29" s="27"/>
      <c r="Q29" s="27"/>
      <c r="R29" s="372"/>
      <c r="W29" s="349"/>
      <c r="Y29" s="373" t="s">
        <v>639</v>
      </c>
      <c r="Z29" s="373" t="s">
        <v>640</v>
      </c>
      <c r="AA29" s="373" t="s">
        <v>641</v>
      </c>
    </row>
    <row r="30" spans="2:29" ht="18" customHeight="1">
      <c r="B30" s="350">
        <v>4</v>
      </c>
      <c r="C30" s="351">
        <v>2</v>
      </c>
      <c r="D30" s="351">
        <v>1</v>
      </c>
      <c r="E30" s="352"/>
      <c r="F30" s="353">
        <f t="shared" si="4"/>
        <v>0</v>
      </c>
      <c r="G30" s="353">
        <f t="shared" si="0"/>
        <v>0</v>
      </c>
      <c r="H30" s="353">
        <f t="shared" si="1"/>
        <v>0</v>
      </c>
      <c r="I30" s="353" t="e">
        <f t="shared" si="8"/>
        <v>#DIV/0!</v>
      </c>
      <c r="J30" s="353" t="e">
        <f t="shared" si="8"/>
        <v>#DIV/0!</v>
      </c>
      <c r="K30" s="353">
        <f t="shared" si="5"/>
        <v>0</v>
      </c>
      <c r="L30" s="353" t="e">
        <f t="shared" si="3"/>
        <v>#DIV/0!</v>
      </c>
      <c r="N30" s="27"/>
      <c r="O30" s="27"/>
      <c r="P30" s="27"/>
      <c r="Q30" s="27"/>
      <c r="R30" s="372"/>
      <c r="W30" s="349"/>
      <c r="Y30" s="340">
        <f>B4</f>
        <v>1</v>
      </c>
      <c r="Z30" s="374" t="e">
        <f>AVERAGE(E4:E5)</f>
        <v>#DIV/0!</v>
      </c>
      <c r="AA30" s="374" t="e">
        <f>AVERAGE(E24:E25)</f>
        <v>#DIV/0!</v>
      </c>
    </row>
    <row r="31" spans="2:29" ht="18" customHeight="1">
      <c r="B31" s="350">
        <v>4</v>
      </c>
      <c r="C31" s="351">
        <v>2</v>
      </c>
      <c r="D31" s="351">
        <v>2</v>
      </c>
      <c r="E31" s="352"/>
      <c r="F31" s="353">
        <f t="shared" si="4"/>
        <v>0</v>
      </c>
      <c r="G31" s="353">
        <f t="shared" si="0"/>
        <v>0</v>
      </c>
      <c r="H31" s="353">
        <f t="shared" si="1"/>
        <v>0</v>
      </c>
      <c r="I31" s="353" t="e">
        <f t="shared" si="8"/>
        <v>#DIV/0!</v>
      </c>
      <c r="J31" s="353" t="e">
        <f t="shared" si="8"/>
        <v>#DIV/0!</v>
      </c>
      <c r="K31" s="353">
        <f t="shared" si="5"/>
        <v>0</v>
      </c>
      <c r="L31" s="353" t="e">
        <f t="shared" si="3"/>
        <v>#DIV/0!</v>
      </c>
      <c r="N31" s="27"/>
      <c r="O31" s="27"/>
      <c r="P31" s="27"/>
      <c r="Q31" s="27"/>
      <c r="R31" s="372"/>
      <c r="W31" s="349"/>
      <c r="Y31" s="340">
        <f>B6</f>
        <v>2</v>
      </c>
      <c r="Z31" s="374" t="e">
        <f>AVERAGE(E6:E7)</f>
        <v>#DIV/0!</v>
      </c>
      <c r="AA31" s="374" t="e">
        <f>AVERAGE(E26:E27)</f>
        <v>#DIV/0!</v>
      </c>
    </row>
    <row r="32" spans="2:29" ht="18" customHeight="1">
      <c r="B32" s="350">
        <v>5</v>
      </c>
      <c r="C32" s="351">
        <v>2</v>
      </c>
      <c r="D32" s="351">
        <v>1</v>
      </c>
      <c r="E32" s="352"/>
      <c r="F32" s="353">
        <f t="shared" si="4"/>
        <v>0</v>
      </c>
      <c r="G32" s="353">
        <f t="shared" si="0"/>
        <v>0</v>
      </c>
      <c r="H32" s="353">
        <f t="shared" si="1"/>
        <v>0</v>
      </c>
      <c r="I32" s="353" t="e">
        <f t="shared" si="8"/>
        <v>#DIV/0!</v>
      </c>
      <c r="J32" s="353" t="e">
        <f t="shared" si="8"/>
        <v>#DIV/0!</v>
      </c>
      <c r="K32" s="353">
        <f t="shared" si="5"/>
        <v>0</v>
      </c>
      <c r="L32" s="353" t="e">
        <f t="shared" si="3"/>
        <v>#DIV/0!</v>
      </c>
      <c r="N32" s="27"/>
      <c r="O32" s="27"/>
      <c r="P32" s="27"/>
      <c r="Q32" s="27"/>
      <c r="R32" s="372"/>
      <c r="W32" s="349"/>
      <c r="Y32" s="340">
        <f>B8</f>
        <v>3</v>
      </c>
      <c r="Z32" s="374" t="e">
        <f>AVERAGE(E8:E9)</f>
        <v>#DIV/0!</v>
      </c>
      <c r="AA32" s="374" t="e">
        <f>AVERAGE(E28:E29)</f>
        <v>#DIV/0!</v>
      </c>
    </row>
    <row r="33" spans="2:27" ht="18" customHeight="1">
      <c r="B33" s="350">
        <v>5</v>
      </c>
      <c r="C33" s="351">
        <v>2</v>
      </c>
      <c r="D33" s="351">
        <v>2</v>
      </c>
      <c r="E33" s="352"/>
      <c r="F33" s="353">
        <f t="shared" si="4"/>
        <v>0</v>
      </c>
      <c r="G33" s="353">
        <f t="shared" si="0"/>
        <v>0</v>
      </c>
      <c r="H33" s="353">
        <f t="shared" si="1"/>
        <v>0</v>
      </c>
      <c r="I33" s="353" t="e">
        <f t="shared" si="8"/>
        <v>#DIV/0!</v>
      </c>
      <c r="J33" s="353" t="e">
        <f t="shared" si="8"/>
        <v>#DIV/0!</v>
      </c>
      <c r="K33" s="353">
        <f t="shared" si="5"/>
        <v>0</v>
      </c>
      <c r="L33" s="353" t="e">
        <f t="shared" si="3"/>
        <v>#DIV/0!</v>
      </c>
      <c r="N33" s="27"/>
      <c r="O33" s="27"/>
      <c r="P33" s="27"/>
      <c r="Q33" s="27"/>
      <c r="R33" s="372"/>
      <c r="W33" s="349"/>
      <c r="Y33" s="340">
        <f>B10</f>
        <v>4</v>
      </c>
      <c r="Z33" s="374" t="e">
        <f>AVERAGE(E10:E11)</f>
        <v>#DIV/0!</v>
      </c>
      <c r="AA33" s="374" t="e">
        <f>AVERAGE(E30:E31)</f>
        <v>#DIV/0!</v>
      </c>
    </row>
    <row r="34" spans="2:27">
      <c r="B34" s="350">
        <v>6</v>
      </c>
      <c r="C34" s="351">
        <v>2</v>
      </c>
      <c r="D34" s="351">
        <v>1</v>
      </c>
      <c r="E34" s="352"/>
      <c r="F34" s="353">
        <f t="shared" si="4"/>
        <v>0</v>
      </c>
      <c r="G34" s="353">
        <f t="shared" si="0"/>
        <v>0</v>
      </c>
      <c r="H34" s="353">
        <f t="shared" si="1"/>
        <v>0</v>
      </c>
      <c r="I34" s="353" t="e">
        <f t="shared" si="8"/>
        <v>#DIV/0!</v>
      </c>
      <c r="J34" s="353" t="e">
        <f t="shared" si="8"/>
        <v>#DIV/0!</v>
      </c>
      <c r="K34" s="353">
        <f t="shared" si="5"/>
        <v>0</v>
      </c>
      <c r="L34" s="353" t="e">
        <f t="shared" si="3"/>
        <v>#DIV/0!</v>
      </c>
      <c r="N34" s="27"/>
      <c r="O34" s="27"/>
      <c r="P34" s="27"/>
      <c r="Q34" s="27"/>
      <c r="R34" s="372"/>
      <c r="W34" s="349"/>
      <c r="Y34" s="340">
        <f>B12</f>
        <v>5</v>
      </c>
      <c r="Z34" s="374" t="e">
        <f>AVERAGE(E12:E13)</f>
        <v>#DIV/0!</v>
      </c>
      <c r="AA34" s="374" t="e">
        <f>AVERAGE(E32:E33)</f>
        <v>#DIV/0!</v>
      </c>
    </row>
    <row r="35" spans="2:27">
      <c r="B35" s="350">
        <v>6</v>
      </c>
      <c r="C35" s="351">
        <v>2</v>
      </c>
      <c r="D35" s="351">
        <v>2</v>
      </c>
      <c r="E35" s="352"/>
      <c r="F35" s="353">
        <f t="shared" si="4"/>
        <v>0</v>
      </c>
      <c r="G35" s="353">
        <f t="shared" si="0"/>
        <v>0</v>
      </c>
      <c r="H35" s="353">
        <f t="shared" si="1"/>
        <v>0</v>
      </c>
      <c r="I35" s="353" t="e">
        <f t="shared" si="8"/>
        <v>#DIV/0!</v>
      </c>
      <c r="J35" s="353" t="e">
        <f t="shared" si="8"/>
        <v>#DIV/0!</v>
      </c>
      <c r="K35" s="353">
        <f t="shared" si="5"/>
        <v>0</v>
      </c>
      <c r="L35" s="353" t="e">
        <f t="shared" si="3"/>
        <v>#DIV/0!</v>
      </c>
      <c r="N35" s="27"/>
      <c r="O35" s="27"/>
      <c r="P35" s="27"/>
      <c r="Q35" s="27"/>
      <c r="R35" s="372"/>
      <c r="W35" s="349"/>
      <c r="Y35" s="340">
        <f>B14</f>
        <v>6</v>
      </c>
      <c r="Z35" s="374" t="e">
        <f>AVERAGE(E14:E15)</f>
        <v>#DIV/0!</v>
      </c>
      <c r="AA35" s="374" t="e">
        <f>AVERAGE(E34:E35)</f>
        <v>#DIV/0!</v>
      </c>
    </row>
    <row r="36" spans="2:27">
      <c r="B36" s="350">
        <v>7</v>
      </c>
      <c r="C36" s="351">
        <v>2</v>
      </c>
      <c r="D36" s="351">
        <v>1</v>
      </c>
      <c r="E36" s="352"/>
      <c r="F36" s="353">
        <f t="shared" si="4"/>
        <v>0</v>
      </c>
      <c r="G36" s="353">
        <f t="shared" si="0"/>
        <v>0</v>
      </c>
      <c r="H36" s="353">
        <f t="shared" si="1"/>
        <v>0</v>
      </c>
      <c r="I36" s="353" t="e">
        <f t="shared" si="8"/>
        <v>#DIV/0!</v>
      </c>
      <c r="J36" s="353" t="e">
        <f t="shared" si="8"/>
        <v>#DIV/0!</v>
      </c>
      <c r="K36" s="353">
        <f t="shared" si="5"/>
        <v>0</v>
      </c>
      <c r="L36" s="353" t="e">
        <f t="shared" si="3"/>
        <v>#DIV/0!</v>
      </c>
      <c r="N36" s="27"/>
      <c r="O36" s="27"/>
      <c r="P36" s="27"/>
      <c r="Q36" s="27"/>
      <c r="R36" s="372"/>
      <c r="W36" s="349"/>
      <c r="Y36" s="340">
        <f>B16</f>
        <v>7</v>
      </c>
      <c r="Z36" s="374" t="e">
        <f>AVERAGE(E16:E17)</f>
        <v>#DIV/0!</v>
      </c>
      <c r="AA36" s="374" t="e">
        <f>AVERAGE(E36:E37)</f>
        <v>#DIV/0!</v>
      </c>
    </row>
    <row r="37" spans="2:27">
      <c r="B37" s="350">
        <v>7</v>
      </c>
      <c r="C37" s="351">
        <v>2</v>
      </c>
      <c r="D37" s="351">
        <v>2</v>
      </c>
      <c r="E37" s="352"/>
      <c r="F37" s="353">
        <f t="shared" si="4"/>
        <v>0</v>
      </c>
      <c r="G37" s="353">
        <f t="shared" si="0"/>
        <v>0</v>
      </c>
      <c r="H37" s="353">
        <f t="shared" si="1"/>
        <v>0</v>
      </c>
      <c r="I37" s="353" t="e">
        <f t="shared" si="8"/>
        <v>#DIV/0!</v>
      </c>
      <c r="J37" s="353" t="e">
        <f t="shared" si="8"/>
        <v>#DIV/0!</v>
      </c>
      <c r="K37" s="353">
        <f t="shared" si="5"/>
        <v>0</v>
      </c>
      <c r="L37" s="353" t="e">
        <f t="shared" si="3"/>
        <v>#DIV/0!</v>
      </c>
      <c r="N37" s="27"/>
      <c r="O37" s="27"/>
      <c r="P37" s="27"/>
      <c r="Q37" s="27"/>
      <c r="R37" s="372"/>
      <c r="W37" s="349"/>
      <c r="Y37" s="340">
        <f>B18</f>
        <v>8</v>
      </c>
      <c r="Z37" s="374" t="e">
        <f>AVERAGE(E18:E19)</f>
        <v>#DIV/0!</v>
      </c>
      <c r="AA37" s="374" t="e">
        <f>AVERAGE(E38:E39)</f>
        <v>#DIV/0!</v>
      </c>
    </row>
    <row r="38" spans="2:27">
      <c r="B38" s="350">
        <v>8</v>
      </c>
      <c r="C38" s="351">
        <v>2</v>
      </c>
      <c r="D38" s="351">
        <v>1</v>
      </c>
      <c r="E38" s="352"/>
      <c r="F38" s="353">
        <f t="shared" si="4"/>
        <v>0</v>
      </c>
      <c r="G38" s="353">
        <f t="shared" si="0"/>
        <v>0</v>
      </c>
      <c r="H38" s="353">
        <f t="shared" si="1"/>
        <v>0</v>
      </c>
      <c r="I38" s="353" t="e">
        <f t="shared" si="8"/>
        <v>#DIV/0!</v>
      </c>
      <c r="J38" s="353" t="e">
        <f t="shared" si="8"/>
        <v>#DIV/0!</v>
      </c>
      <c r="K38" s="353">
        <f t="shared" si="5"/>
        <v>0</v>
      </c>
      <c r="L38" s="353" t="e">
        <f t="shared" si="3"/>
        <v>#DIV/0!</v>
      </c>
      <c r="N38" s="27"/>
      <c r="O38" s="27"/>
      <c r="P38" s="27"/>
      <c r="Q38" s="27"/>
      <c r="R38" s="372"/>
      <c r="W38" s="349"/>
      <c r="Y38" s="340">
        <f>B20</f>
        <v>9</v>
      </c>
      <c r="Z38" s="374" t="e">
        <f>AVERAGE(E20:E21)</f>
        <v>#DIV/0!</v>
      </c>
      <c r="AA38" s="374" t="e">
        <f>AVERAGE(E40:E41)</f>
        <v>#DIV/0!</v>
      </c>
    </row>
    <row r="39" spans="2:27">
      <c r="B39" s="350">
        <v>8</v>
      </c>
      <c r="C39" s="351">
        <v>2</v>
      </c>
      <c r="D39" s="351">
        <v>2</v>
      </c>
      <c r="E39" s="352"/>
      <c r="F39" s="353">
        <f t="shared" si="4"/>
        <v>0</v>
      </c>
      <c r="G39" s="353">
        <f t="shared" si="0"/>
        <v>0</v>
      </c>
      <c r="H39" s="353">
        <f t="shared" si="1"/>
        <v>0</v>
      </c>
      <c r="I39" s="353" t="e">
        <f t="shared" si="8"/>
        <v>#DIV/0!</v>
      </c>
      <c r="J39" s="353" t="e">
        <f t="shared" si="8"/>
        <v>#DIV/0!</v>
      </c>
      <c r="K39" s="353">
        <f t="shared" si="5"/>
        <v>0</v>
      </c>
      <c r="L39" s="353" t="e">
        <f t="shared" si="3"/>
        <v>#DIV/0!</v>
      </c>
      <c r="N39" s="27"/>
      <c r="O39" s="27"/>
      <c r="P39" s="27"/>
      <c r="Q39" s="27"/>
      <c r="R39" s="372"/>
      <c r="W39" s="349"/>
      <c r="Y39" s="340">
        <f>B22</f>
        <v>10</v>
      </c>
      <c r="Z39" s="374" t="e">
        <f>AVERAGE(E22:E23)</f>
        <v>#DIV/0!</v>
      </c>
      <c r="AA39" s="374" t="e">
        <f>AVERAGE(E42:E43)</f>
        <v>#DIV/0!</v>
      </c>
    </row>
    <row r="40" spans="2:27" ht="15.75" customHeight="1">
      <c r="B40" s="350">
        <v>9</v>
      </c>
      <c r="C40" s="351">
        <v>2</v>
      </c>
      <c r="D40" s="351">
        <v>1</v>
      </c>
      <c r="E40" s="352"/>
      <c r="F40" s="353">
        <f t="shared" si="4"/>
        <v>0</v>
      </c>
      <c r="G40" s="353">
        <f t="shared" si="0"/>
        <v>0</v>
      </c>
      <c r="H40" s="353">
        <f t="shared" si="1"/>
        <v>0</v>
      </c>
      <c r="I40" s="353" t="e">
        <f t="shared" ref="I40:J43" si="12">(F40-$E$45)^2</f>
        <v>#DIV/0!</v>
      </c>
      <c r="J40" s="353" t="e">
        <f t="shared" si="12"/>
        <v>#DIV/0!</v>
      </c>
      <c r="K40" s="353">
        <f t="shared" si="5"/>
        <v>0</v>
      </c>
      <c r="L40" s="353" t="e">
        <f t="shared" si="3"/>
        <v>#DIV/0!</v>
      </c>
      <c r="N40" s="27"/>
      <c r="O40" s="27"/>
      <c r="P40" s="27"/>
      <c r="Q40" s="27"/>
      <c r="R40" s="372"/>
      <c r="W40" s="349"/>
    </row>
    <row r="41" spans="2:27">
      <c r="B41" s="350">
        <v>9</v>
      </c>
      <c r="C41" s="351">
        <v>2</v>
      </c>
      <c r="D41" s="351">
        <v>2</v>
      </c>
      <c r="E41" s="352"/>
      <c r="F41" s="353">
        <f t="shared" si="4"/>
        <v>0</v>
      </c>
      <c r="G41" s="353">
        <f t="shared" si="0"/>
        <v>0</v>
      </c>
      <c r="H41" s="353">
        <f t="shared" si="1"/>
        <v>0</v>
      </c>
      <c r="I41" s="353" t="e">
        <f t="shared" si="12"/>
        <v>#DIV/0!</v>
      </c>
      <c r="J41" s="353" t="e">
        <f t="shared" si="12"/>
        <v>#DIV/0!</v>
      </c>
      <c r="K41" s="353">
        <f t="shared" si="5"/>
        <v>0</v>
      </c>
      <c r="L41" s="353" t="e">
        <f t="shared" si="3"/>
        <v>#DIV/0!</v>
      </c>
      <c r="N41" s="27"/>
      <c r="O41" s="27"/>
      <c r="P41" s="27"/>
      <c r="Q41" s="27"/>
      <c r="R41" s="372"/>
      <c r="W41" s="349"/>
    </row>
    <row r="42" spans="2:27">
      <c r="B42" s="350">
        <v>10</v>
      </c>
      <c r="C42" s="351">
        <v>2</v>
      </c>
      <c r="D42" s="351">
        <v>1</v>
      </c>
      <c r="E42" s="352"/>
      <c r="F42" s="353">
        <f t="shared" si="4"/>
        <v>0</v>
      </c>
      <c r="G42" s="353">
        <f t="shared" si="0"/>
        <v>0</v>
      </c>
      <c r="H42" s="353">
        <f t="shared" si="1"/>
        <v>0</v>
      </c>
      <c r="I42" s="353" t="e">
        <f t="shared" si="12"/>
        <v>#DIV/0!</v>
      </c>
      <c r="J42" s="353" t="e">
        <f t="shared" si="12"/>
        <v>#DIV/0!</v>
      </c>
      <c r="K42" s="353">
        <f t="shared" si="5"/>
        <v>0</v>
      </c>
      <c r="L42" s="353" t="e">
        <f t="shared" si="3"/>
        <v>#DIV/0!</v>
      </c>
      <c r="N42" s="27"/>
      <c r="O42" s="27"/>
      <c r="P42" s="27"/>
      <c r="Q42" s="27"/>
      <c r="R42" s="372"/>
      <c r="W42" s="349"/>
    </row>
    <row r="43" spans="2:27">
      <c r="B43" s="350">
        <v>10</v>
      </c>
      <c r="C43" s="351">
        <v>2</v>
      </c>
      <c r="D43" s="351">
        <v>2</v>
      </c>
      <c r="E43" s="352"/>
      <c r="F43" s="353">
        <f t="shared" si="4"/>
        <v>0</v>
      </c>
      <c r="G43" s="353">
        <f t="shared" si="0"/>
        <v>0</v>
      </c>
      <c r="H43" s="353">
        <f t="shared" si="1"/>
        <v>0</v>
      </c>
      <c r="I43" s="353" t="e">
        <f t="shared" si="12"/>
        <v>#DIV/0!</v>
      </c>
      <c r="J43" s="353" t="e">
        <f t="shared" si="12"/>
        <v>#DIV/0!</v>
      </c>
      <c r="K43" s="353">
        <f t="shared" si="5"/>
        <v>0</v>
      </c>
      <c r="L43" s="353" t="e">
        <f t="shared" si="3"/>
        <v>#DIV/0!</v>
      </c>
      <c r="N43" s="27"/>
      <c r="O43" s="27"/>
      <c r="P43" s="27"/>
      <c r="Q43" s="27"/>
      <c r="R43" s="372"/>
      <c r="W43" s="349"/>
    </row>
    <row r="44" spans="2:27">
      <c r="B44" s="375"/>
      <c r="C44" s="376"/>
      <c r="D44" s="376"/>
      <c r="E44" s="376"/>
      <c r="F44" s="377"/>
      <c r="G44" s="377"/>
      <c r="H44" s="377"/>
      <c r="I44" s="377"/>
      <c r="J44" s="377"/>
      <c r="K44" s="377"/>
      <c r="L44" s="378"/>
      <c r="N44" s="27"/>
      <c r="O44" s="27"/>
      <c r="P44" s="27"/>
      <c r="Q44" s="27"/>
      <c r="R44" s="372"/>
      <c r="W44" s="349"/>
    </row>
    <row r="45" spans="2:27">
      <c r="B45" s="379"/>
      <c r="C45" s="1281" t="s">
        <v>642</v>
      </c>
      <c r="D45" s="1282"/>
      <c r="E45" s="380" t="e">
        <f>AVERAGE(E4:E43)</f>
        <v>#DIV/0!</v>
      </c>
      <c r="K45" s="382"/>
      <c r="N45" s="27"/>
      <c r="O45" s="27"/>
      <c r="P45" s="27"/>
      <c r="Q45" s="27"/>
      <c r="R45" s="372"/>
      <c r="W45" s="349"/>
    </row>
    <row r="46" spans="2:27" ht="15.75" thickBot="1">
      <c r="B46" s="379"/>
      <c r="N46" s="27"/>
      <c r="O46" s="27"/>
      <c r="P46" s="27"/>
      <c r="Q46" s="27"/>
      <c r="R46" s="372"/>
      <c r="W46" s="349"/>
    </row>
    <row r="47" spans="2:27" ht="16.5" thickTop="1" thickBot="1">
      <c r="B47" s="379"/>
      <c r="C47" s="1284" t="s">
        <v>643</v>
      </c>
      <c r="D47" s="1285"/>
      <c r="E47" s="1285"/>
      <c r="F47" s="1285"/>
      <c r="G47" s="1285"/>
      <c r="H47" s="1285"/>
      <c r="I47" s="1285"/>
      <c r="J47" s="1285"/>
      <c r="K47" s="1285"/>
      <c r="L47" s="1286"/>
      <c r="N47" s="27"/>
      <c r="O47" s="27"/>
      <c r="P47" s="27"/>
      <c r="Q47" s="27"/>
      <c r="R47" s="372"/>
      <c r="W47" s="349"/>
    </row>
    <row r="48" spans="2:27" ht="15.75" thickBot="1">
      <c r="B48" s="379"/>
      <c r="C48" s="1287"/>
      <c r="D48" s="1288"/>
      <c r="E48" s="1288"/>
      <c r="F48" s="1288"/>
      <c r="G48" s="1288"/>
      <c r="H48" s="1288"/>
      <c r="I48" s="1288"/>
      <c r="J48" s="1288"/>
      <c r="K48" s="1288"/>
      <c r="L48" s="1289"/>
      <c r="O48"/>
      <c r="W48" s="349"/>
    </row>
    <row r="49" spans="2:23" ht="15.75" thickBot="1">
      <c r="B49" s="379"/>
      <c r="C49" s="1287"/>
      <c r="D49" s="1288"/>
      <c r="E49" s="1288"/>
      <c r="F49" s="1288"/>
      <c r="G49" s="1288"/>
      <c r="H49" s="1288"/>
      <c r="I49" s="1288"/>
      <c r="J49" s="1288"/>
      <c r="K49" s="1288"/>
      <c r="L49" s="1289"/>
      <c r="W49" s="349"/>
    </row>
    <row r="50" spans="2:23" ht="15.75" thickBot="1">
      <c r="B50" s="379"/>
      <c r="C50" s="1287"/>
      <c r="D50" s="1288"/>
      <c r="E50" s="1288"/>
      <c r="F50" s="1288"/>
      <c r="G50" s="1288"/>
      <c r="H50" s="1288"/>
      <c r="I50" s="1288"/>
      <c r="J50" s="1288"/>
      <c r="K50" s="1288"/>
      <c r="L50" s="1289"/>
      <c r="V50"/>
      <c r="W50" s="349"/>
    </row>
    <row r="51" spans="2:23" ht="19.5" thickBot="1">
      <c r="B51" s="379"/>
      <c r="C51" s="1276" t="s">
        <v>644</v>
      </c>
      <c r="D51" s="1277"/>
      <c r="E51" s="1277"/>
      <c r="F51" s="1277"/>
      <c r="G51" s="1277"/>
      <c r="H51" s="1277"/>
      <c r="I51" s="1277"/>
      <c r="J51" s="1277"/>
      <c r="K51" s="1277"/>
      <c r="L51" s="1278"/>
      <c r="W51" s="349"/>
    </row>
    <row r="52" spans="2:23" ht="16.5" thickTop="1" thickBot="1">
      <c r="B52" s="383"/>
      <c r="C52" s="384"/>
      <c r="D52" s="384"/>
      <c r="E52" s="384"/>
      <c r="F52" s="385"/>
      <c r="G52" s="385"/>
      <c r="H52" s="385"/>
      <c r="I52" s="385"/>
      <c r="J52" s="385"/>
      <c r="K52" s="385"/>
      <c r="L52" s="385"/>
      <c r="M52" s="384"/>
      <c r="N52" s="384"/>
      <c r="O52" s="384"/>
      <c r="P52" s="384"/>
      <c r="Q52" s="384"/>
      <c r="R52" s="384"/>
      <c r="S52" s="384"/>
      <c r="T52" s="384"/>
      <c r="U52" s="384"/>
      <c r="V52" s="384"/>
      <c r="W52" s="386"/>
    </row>
    <row r="53" spans="2:23" ht="15.75" thickTop="1"/>
    <row r="56" spans="2:23">
      <c r="E56" s="387"/>
    </row>
    <row r="57" spans="2:23">
      <c r="C57" s="27"/>
    </row>
  </sheetData>
  <mergeCells count="36">
    <mergeCell ref="I2:L2"/>
    <mergeCell ref="B2:B3"/>
    <mergeCell ref="C2:C3"/>
    <mergeCell ref="D2:D3"/>
    <mergeCell ref="E2:E3"/>
    <mergeCell ref="F2:H2"/>
    <mergeCell ref="N16:O16"/>
    <mergeCell ref="N2:R2"/>
    <mergeCell ref="N4:O4"/>
    <mergeCell ref="N5:O5"/>
    <mergeCell ref="N6:O6"/>
    <mergeCell ref="N7:O7"/>
    <mergeCell ref="N8:O8"/>
    <mergeCell ref="N9:O9"/>
    <mergeCell ref="N11:O11"/>
    <mergeCell ref="Q11:S11"/>
    <mergeCell ref="N13:R13"/>
    <mergeCell ref="N15:O15"/>
    <mergeCell ref="N17:O17"/>
    <mergeCell ref="N18:O18"/>
    <mergeCell ref="P20:P21"/>
    <mergeCell ref="Q20:Q21"/>
    <mergeCell ref="R20:R21"/>
    <mergeCell ref="C51:L51"/>
    <mergeCell ref="T20:T21"/>
    <mergeCell ref="U20:U21"/>
    <mergeCell ref="V20:V21"/>
    <mergeCell ref="N22:O22"/>
    <mergeCell ref="N23:O23"/>
    <mergeCell ref="N24:O24"/>
    <mergeCell ref="S20:S21"/>
    <mergeCell ref="N25:O25"/>
    <mergeCell ref="N26:O26"/>
    <mergeCell ref="N27:O27"/>
    <mergeCell ref="C45:D45"/>
    <mergeCell ref="C47:L50"/>
  </mergeCells>
  <hyperlinks>
    <hyperlink ref="C51" r:id="rId1" xr:uid="{BEB0B507-2882-2E45-8D17-41786D110191}"/>
  </hyperlinks>
  <pageMargins left="0.70866141732283472" right="0.70866141732283472" top="0.74803149606299213" bottom="0.74803149606299213" header="0.31496062992125984" footer="0.31496062992125984"/>
  <pageSetup paperSize="9" scale="35" orientation="landscape" verticalDpi="0" r:id="rId2"/>
  <drawing r:id="rId3"/>
  <legacyDrawing r:id="rId4"/>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29931-32F1-45A6-BD7B-F211D4A7D908}">
  <dimension ref="A1:AH501"/>
  <sheetViews>
    <sheetView topLeftCell="D1" zoomScale="70" zoomScaleNormal="70" workbookViewId="0">
      <selection activeCell="G6" sqref="G6"/>
    </sheetView>
  </sheetViews>
  <sheetFormatPr defaultColWidth="9.28515625" defaultRowHeight="15"/>
  <cols>
    <col min="1" max="2" width="9.28515625" style="489"/>
    <col min="3" max="3" width="13.85546875" style="489" bestFit="1" customWidth="1"/>
    <col min="4" max="4" width="14" customWidth="1"/>
    <col min="5" max="5" width="13.28515625" bestFit="1" customWidth="1"/>
    <col min="6" max="6" width="42.85546875" bestFit="1" customWidth="1"/>
    <col min="7" max="7" width="24.7109375" customWidth="1"/>
  </cols>
  <sheetData>
    <row r="1" spans="1:34" ht="30">
      <c r="A1" s="480" t="s">
        <v>645</v>
      </c>
      <c r="B1" s="480" t="s">
        <v>646</v>
      </c>
      <c r="C1" s="480" t="s">
        <v>314</v>
      </c>
      <c r="D1" s="481" t="s">
        <v>647</v>
      </c>
      <c r="E1" s="481" t="s">
        <v>648</v>
      </c>
      <c r="F1" s="482" t="s">
        <v>649</v>
      </c>
      <c r="G1" s="483" t="s">
        <v>650</v>
      </c>
    </row>
    <row r="2" spans="1:34" ht="15.75">
      <c r="A2" s="1377">
        <v>146.99</v>
      </c>
      <c r="B2" s="957">
        <f>G7</f>
        <v>145.12</v>
      </c>
      <c r="C2" s="957">
        <f t="shared" ref="C2:C14" si="0">COUNTIF(A:A,"&lt;="&amp;B2)-COUNTIF(A:A,"&lt;="&amp;B1)</f>
        <v>1</v>
      </c>
      <c r="D2" s="958">
        <f t="shared" ref="D2:D14" si="1">_xlfn.NORM.DIST(B2,G$3,G$6,FALSE)</f>
        <v>3.9055020247887789E-2</v>
      </c>
      <c r="E2" s="959">
        <f t="shared" ref="E2:E14" si="2">D2*G$2</f>
        <v>1.9527510123943894</v>
      </c>
      <c r="F2" s="956" t="s">
        <v>651</v>
      </c>
      <c r="G2" s="1063">
        <f>COUNT(A:A)</f>
        <v>50</v>
      </c>
      <c r="V2" s="485"/>
      <c r="W2" s="485"/>
      <c r="X2" s="485"/>
      <c r="Y2" s="485"/>
      <c r="Z2" s="485"/>
      <c r="AA2" s="485"/>
      <c r="AB2" s="485"/>
      <c r="AC2" s="485"/>
      <c r="AD2" s="485"/>
      <c r="AE2" s="485"/>
      <c r="AF2" s="485"/>
      <c r="AG2" s="485"/>
      <c r="AH2" s="485"/>
    </row>
    <row r="3" spans="1:34" ht="15.75">
      <c r="A3" s="1377">
        <v>148.65</v>
      </c>
      <c r="B3" s="960">
        <f t="shared" ref="B3:B13" si="3">B2+G$34</f>
        <v>146.14846153846153</v>
      </c>
      <c r="C3" s="957">
        <f t="shared" si="0"/>
        <v>2</v>
      </c>
      <c r="D3" s="958">
        <f t="shared" si="1"/>
        <v>6.4634236213430188E-2</v>
      </c>
      <c r="E3" s="959">
        <f t="shared" si="2"/>
        <v>3.2317118106715093</v>
      </c>
      <c r="F3" s="955" t="s">
        <v>652</v>
      </c>
      <c r="G3" s="1069">
        <f>AVERAGE(A:A)</f>
        <v>149.70579999999998</v>
      </c>
    </row>
    <row r="4" spans="1:34" ht="15.75">
      <c r="A4" s="1377">
        <v>150.22999999999999</v>
      </c>
      <c r="B4" s="960">
        <f t="shared" si="3"/>
        <v>147.17692307692306</v>
      </c>
      <c r="C4" s="957">
        <f t="shared" si="0"/>
        <v>8</v>
      </c>
      <c r="D4" s="958">
        <f t="shared" si="1"/>
        <v>9.4185489421175952E-2</v>
      </c>
      <c r="E4" s="959">
        <f t="shared" si="2"/>
        <v>4.7092744710587979</v>
      </c>
      <c r="F4" s="955" t="s">
        <v>653</v>
      </c>
      <c r="G4" s="1069">
        <f>MEDIAN(A:A)</f>
        <v>149.19999999999999</v>
      </c>
      <c r="H4" s="486"/>
      <c r="I4" s="486"/>
    </row>
    <row r="5" spans="1:34" ht="15.75">
      <c r="A5" s="1377">
        <v>155.72999999999999</v>
      </c>
      <c r="B5" s="960">
        <f t="shared" si="3"/>
        <v>148.20538461538459</v>
      </c>
      <c r="C5" s="957">
        <f t="shared" si="0"/>
        <v>8</v>
      </c>
      <c r="D5" s="958">
        <f t="shared" si="1"/>
        <v>0.12084842665482899</v>
      </c>
      <c r="E5" s="959">
        <f t="shared" si="2"/>
        <v>6.0424213327414495</v>
      </c>
      <c r="F5" s="955" t="s">
        <v>654</v>
      </c>
      <c r="G5" s="1063">
        <f>MODE(A:A)</f>
        <v>146.99</v>
      </c>
      <c r="I5" s="487"/>
    </row>
    <row r="6" spans="1:34" ht="15.75">
      <c r="A6" s="1377">
        <v>150.66999999999999</v>
      </c>
      <c r="B6" s="960">
        <f t="shared" si="3"/>
        <v>149.23384615384612</v>
      </c>
      <c r="C6" s="957">
        <f t="shared" si="0"/>
        <v>6</v>
      </c>
      <c r="D6" s="958">
        <f t="shared" si="1"/>
        <v>0.13653174042218377</v>
      </c>
      <c r="E6" s="959">
        <f t="shared" si="2"/>
        <v>6.826587021109189</v>
      </c>
      <c r="F6" s="955" t="s">
        <v>655</v>
      </c>
      <c r="G6" s="1069">
        <f>STDEV(A:A)</f>
        <v>2.8830858538753787</v>
      </c>
      <c r="I6" s="487"/>
    </row>
    <row r="7" spans="1:34" ht="15.75">
      <c r="A7" s="1377">
        <v>150.27000000000001</v>
      </c>
      <c r="B7" s="960">
        <f t="shared" si="3"/>
        <v>150.26230769230764</v>
      </c>
      <c r="C7" s="957">
        <f t="shared" si="0"/>
        <v>6</v>
      </c>
      <c r="D7" s="958">
        <f t="shared" si="1"/>
        <v>0.13581942143195008</v>
      </c>
      <c r="E7" s="959">
        <f t="shared" si="2"/>
        <v>6.7909710715975038</v>
      </c>
      <c r="F7" s="956" t="s">
        <v>656</v>
      </c>
      <c r="G7" s="1069">
        <f>MIN(A:A)</f>
        <v>145.12</v>
      </c>
      <c r="I7" s="487"/>
    </row>
    <row r="8" spans="1:34" ht="15.75">
      <c r="A8" s="1377">
        <v>149.29</v>
      </c>
      <c r="B8" s="960">
        <f t="shared" si="3"/>
        <v>151.29076923076917</v>
      </c>
      <c r="C8" s="957">
        <f t="shared" si="0"/>
        <v>8</v>
      </c>
      <c r="D8" s="958">
        <f t="shared" si="1"/>
        <v>0.11896679174255258</v>
      </c>
      <c r="E8" s="959">
        <f t="shared" si="2"/>
        <v>5.948339587127629</v>
      </c>
      <c r="F8" s="956" t="s">
        <v>657</v>
      </c>
      <c r="G8" s="1069">
        <f>MAX(A:A)</f>
        <v>157.49</v>
      </c>
      <c r="I8" s="487"/>
    </row>
    <row r="9" spans="1:34" ht="15.75">
      <c r="A9" s="1377">
        <v>147.13</v>
      </c>
      <c r="B9" s="960">
        <f t="shared" si="3"/>
        <v>152.3192307692307</v>
      </c>
      <c r="C9" s="957">
        <f t="shared" si="0"/>
        <v>3</v>
      </c>
      <c r="D9" s="958">
        <f t="shared" si="1"/>
        <v>9.1754050960095299E-2</v>
      </c>
      <c r="E9" s="959">
        <f t="shared" si="2"/>
        <v>4.5877025480047653</v>
      </c>
      <c r="F9" s="956" t="s">
        <v>658</v>
      </c>
      <c r="G9" s="1069">
        <f>G8-G7</f>
        <v>12.370000000000005</v>
      </c>
      <c r="I9" s="487"/>
    </row>
    <row r="10" spans="1:34" ht="15.75">
      <c r="A10" s="1377">
        <v>145.12</v>
      </c>
      <c r="B10" s="960">
        <f t="shared" si="3"/>
        <v>153.34769230769223</v>
      </c>
      <c r="C10" s="957">
        <f t="shared" si="0"/>
        <v>1</v>
      </c>
      <c r="D10" s="958">
        <f t="shared" si="1"/>
        <v>6.2310375612483079E-2</v>
      </c>
      <c r="E10" s="959">
        <f t="shared" si="2"/>
        <v>3.115518780624154</v>
      </c>
      <c r="F10" s="956" t="s">
        <v>659</v>
      </c>
      <c r="G10" s="1069">
        <f>G23-G21</f>
        <v>3.4799999999999898</v>
      </c>
      <c r="I10" s="487"/>
    </row>
    <row r="11" spans="1:34" ht="15.75">
      <c r="A11" s="1377">
        <v>147.82</v>
      </c>
      <c r="B11" s="960">
        <f t="shared" si="3"/>
        <v>154.37615384615376</v>
      </c>
      <c r="C11" s="957">
        <f t="shared" si="0"/>
        <v>3</v>
      </c>
      <c r="D11" s="958">
        <f t="shared" si="1"/>
        <v>3.7258993161031088E-2</v>
      </c>
      <c r="E11" s="959">
        <f t="shared" si="2"/>
        <v>1.8629496580515543</v>
      </c>
      <c r="F11" s="955" t="s">
        <v>660</v>
      </c>
      <c r="G11" s="1069">
        <f>KURT(A:A)</f>
        <v>0.42349330340981828</v>
      </c>
      <c r="I11" s="487"/>
    </row>
    <row r="12" spans="1:34" ht="15.75">
      <c r="A12" s="1377">
        <v>151.41999999999999</v>
      </c>
      <c r="B12" s="960">
        <f t="shared" si="3"/>
        <v>155.40461538461528</v>
      </c>
      <c r="C12" s="957">
        <f t="shared" si="0"/>
        <v>1</v>
      </c>
      <c r="D12" s="958">
        <f t="shared" si="1"/>
        <v>1.9617220993857157E-2</v>
      </c>
      <c r="E12" s="959">
        <f t="shared" si="2"/>
        <v>0.98086104969285792</v>
      </c>
      <c r="F12" s="955" t="s">
        <v>661</v>
      </c>
      <c r="G12" s="1069">
        <f>SKEW(A:A)</f>
        <v>0.85328082988691389</v>
      </c>
      <c r="I12" s="487"/>
    </row>
    <row r="13" spans="1:34">
      <c r="A13" s="1377">
        <v>150.63999999999999</v>
      </c>
      <c r="B13" s="960">
        <f t="shared" si="3"/>
        <v>156.43307692307681</v>
      </c>
      <c r="C13" s="957">
        <f t="shared" si="0"/>
        <v>1</v>
      </c>
      <c r="D13" s="958">
        <f t="shared" si="1"/>
        <v>9.0945136309250156E-3</v>
      </c>
      <c r="E13" s="959">
        <f t="shared" si="2"/>
        <v>0.45472568154625076</v>
      </c>
      <c r="F13" s="955" t="s">
        <v>662</v>
      </c>
      <c r="G13" s="490">
        <v>0.95</v>
      </c>
      <c r="I13" s="487"/>
    </row>
    <row r="14" spans="1:34" ht="15.75">
      <c r="A14" s="1377">
        <v>146.24</v>
      </c>
      <c r="B14" s="957">
        <f>G8</f>
        <v>157.49</v>
      </c>
      <c r="C14" s="957">
        <f t="shared" si="0"/>
        <v>2</v>
      </c>
      <c r="D14" s="958">
        <f t="shared" si="1"/>
        <v>3.6149534641134761E-3</v>
      </c>
      <c r="E14" s="959">
        <f t="shared" si="2"/>
        <v>0.18074767320567381</v>
      </c>
      <c r="F14" s="955" t="s">
        <v>663</v>
      </c>
      <c r="G14" s="1063" t="str">
        <f>TEXT(G3-_xlfn.CONFIDENCE.NORM((1-G13),G6,G2),"#.0#") &amp; " - " &amp; TEXT(G3+_xlfn.CONFIDENCE.NORM((1-G13),G6,G2),"#.0#")</f>
        <v>148.91 - 150.5</v>
      </c>
      <c r="I14" s="487"/>
    </row>
    <row r="15" spans="1:34" ht="15.75">
      <c r="A15" s="1377">
        <v>151.08000000000001</v>
      </c>
      <c r="F15" s="955" t="s">
        <v>664</v>
      </c>
      <c r="G15" s="1070">
        <f>'AD Normality Test'!B29</f>
        <v>3.1780444557565429E-2</v>
      </c>
      <c r="I15" s="487"/>
    </row>
    <row r="16" spans="1:34">
      <c r="A16" s="1377">
        <v>148.78</v>
      </c>
      <c r="F16" s="1071" t="s">
        <v>665</v>
      </c>
      <c r="G16" s="1065" t="str">
        <f>IF(G15&lt;0.05, "not  normally distributed", IF(G15&gt;0.1, "normally distributed", "check sample size"))</f>
        <v>not  normally distributed</v>
      </c>
      <c r="I16" s="487"/>
    </row>
    <row r="17" spans="1:9">
      <c r="A17" s="1377">
        <v>149.85</v>
      </c>
      <c r="I17" s="487"/>
    </row>
    <row r="18" spans="1:9" ht="15.75">
      <c r="A18" s="1377">
        <v>153.81</v>
      </c>
      <c r="F18" s="482" t="s">
        <v>666</v>
      </c>
      <c r="G18" s="1063" t="str">
        <f>G1</f>
        <v>CTQ  Y1 (baseline)</v>
      </c>
      <c r="I18" s="487"/>
    </row>
    <row r="19" spans="1:9" ht="15.75">
      <c r="A19" s="1377">
        <v>153.69999999999999</v>
      </c>
      <c r="F19" s="955" t="s">
        <v>667</v>
      </c>
      <c r="G19" s="1064">
        <f>G7</f>
        <v>145.12</v>
      </c>
    </row>
    <row r="20" spans="1:9" ht="15.75">
      <c r="A20" s="1377">
        <v>148.41</v>
      </c>
      <c r="F20" s="955" t="s">
        <v>668</v>
      </c>
      <c r="G20" s="1064">
        <f>IF((G21-(1.5*G10))&lt;G19, G19, G21-(1.5*G10))</f>
        <v>145.12</v>
      </c>
    </row>
    <row r="21" spans="1:9" ht="15.75">
      <c r="A21" s="1377">
        <v>149.87</v>
      </c>
      <c r="F21" s="955" t="s">
        <v>669</v>
      </c>
      <c r="G21" s="1064">
        <f>QUARTILE(A:A,1)</f>
        <v>147.58750000000001</v>
      </c>
    </row>
    <row r="22" spans="1:9" ht="15.75">
      <c r="A22" s="1377">
        <v>150.02000000000001</v>
      </c>
      <c r="F22" s="955" t="s">
        <v>653</v>
      </c>
      <c r="G22" s="1064">
        <f>G4</f>
        <v>149.19999999999999</v>
      </c>
    </row>
    <row r="23" spans="1:9" ht="15.75">
      <c r="A23" s="1377">
        <v>152.12</v>
      </c>
      <c r="F23" s="955" t="s">
        <v>670</v>
      </c>
      <c r="G23" s="1064">
        <f>QUARTILE(A:A,3)</f>
        <v>151.0675</v>
      </c>
    </row>
    <row r="24" spans="1:9" ht="15.75">
      <c r="A24" s="1377">
        <v>153.41</v>
      </c>
      <c r="F24" s="955" t="s">
        <v>671</v>
      </c>
      <c r="G24" s="1064">
        <f>IF((G23+(1.5*G10))&gt;G25, G25, G23+(1.5*G10))</f>
        <v>156.28749999999997</v>
      </c>
    </row>
    <row r="25" spans="1:9" ht="15.75">
      <c r="A25" s="1377">
        <v>151.1</v>
      </c>
      <c r="F25" s="955" t="s">
        <v>672</v>
      </c>
      <c r="G25" s="1064">
        <f>G8</f>
        <v>157.49</v>
      </c>
    </row>
    <row r="26" spans="1:9" ht="15.75">
      <c r="A26" s="1377">
        <v>147.69999999999999</v>
      </c>
      <c r="F26" s="955" t="s">
        <v>673</v>
      </c>
      <c r="G26" s="1064">
        <f>G6/SQRT(G2)</f>
        <v>0.40772991160365757</v>
      </c>
    </row>
    <row r="27" spans="1:9">
      <c r="A27" s="1377">
        <v>149.11000000000001</v>
      </c>
    </row>
    <row r="28" spans="1:9">
      <c r="A28" s="1377">
        <v>151.03</v>
      </c>
      <c r="F28" s="1300" t="s">
        <v>674</v>
      </c>
      <c r="G28" s="1300"/>
    </row>
    <row r="29" spans="1:9" ht="15.75">
      <c r="A29" s="1377">
        <v>146.44999999999999</v>
      </c>
      <c r="F29" s="955" t="s">
        <v>675</v>
      </c>
      <c r="G29" s="1066" t="str">
        <f>"Average= "&amp;TEXT(G3,"##.0#")&amp;" ("&amp;G14&amp;" at "&amp;TEXT(G13*100,"##")&amp;"% confidence)"</f>
        <v>Average= 149.71 (148.91 - 150.5 at 95% confidence)</v>
      </c>
    </row>
    <row r="30" spans="1:9" ht="15.75">
      <c r="A30" s="1377">
        <v>147.94</v>
      </c>
      <c r="F30" s="955" t="s">
        <v>676</v>
      </c>
      <c r="G30" s="1067" t="str">
        <f>"Median= "&amp;TEXT(G4,"##.0#")&amp;", "&amp;" StDev= "&amp;TEXT(G6,"#.0#")</f>
        <v>Median= 149.2,  StDev= 2.88</v>
      </c>
    </row>
    <row r="31" spans="1:9" ht="15.75">
      <c r="A31" s="1377">
        <v>148.61000000000001</v>
      </c>
      <c r="F31" s="955" t="s">
        <v>677</v>
      </c>
      <c r="G31" s="1067" t="str">
        <f>"Distribution: "&amp;G16&amp;", p= "&amp;TEXT(G15,"0.000")</f>
        <v>Distribution: not  normally distributed, p= 0.032</v>
      </c>
    </row>
    <row r="32" spans="1:9">
      <c r="A32" s="1377">
        <v>151.97</v>
      </c>
      <c r="F32" s="955" t="s">
        <v>678</v>
      </c>
      <c r="G32" s="1066" t="str">
        <f>"n= "&amp;G2</f>
        <v>n= 50</v>
      </c>
    </row>
    <row r="33" spans="1:7">
      <c r="A33" s="1377">
        <v>147.13</v>
      </c>
      <c r="F33" s="956" t="s">
        <v>679</v>
      </c>
      <c r="G33" s="488">
        <v>13</v>
      </c>
    </row>
    <row r="34" spans="1:7" ht="15.75">
      <c r="A34" s="1377">
        <v>148.18</v>
      </c>
      <c r="F34" s="956" t="s">
        <v>680</v>
      </c>
      <c r="G34" s="1068">
        <f>(G8-G7+1)/G33</f>
        <v>1.0284615384615388</v>
      </c>
    </row>
    <row r="35" spans="1:7">
      <c r="A35" s="1377">
        <v>156.9</v>
      </c>
    </row>
    <row r="36" spans="1:7">
      <c r="A36" s="1377">
        <v>149.91</v>
      </c>
    </row>
    <row r="37" spans="1:7">
      <c r="A37" s="1377">
        <v>148.43</v>
      </c>
    </row>
    <row r="38" spans="1:7">
      <c r="A38" s="1377">
        <v>145.6</v>
      </c>
    </row>
    <row r="39" spans="1:7">
      <c r="A39" s="1377">
        <v>154.71</v>
      </c>
    </row>
    <row r="40" spans="1:7">
      <c r="A40" s="1377">
        <v>148.13</v>
      </c>
    </row>
    <row r="41" spans="1:7">
      <c r="A41" s="1377">
        <v>147.82</v>
      </c>
    </row>
    <row r="42" spans="1:7">
      <c r="A42" s="1377">
        <v>146.99</v>
      </c>
    </row>
    <row r="43" spans="1:7">
      <c r="A43" s="1377">
        <v>147.55000000000001</v>
      </c>
    </row>
    <row r="44" spans="1:7">
      <c r="A44" s="1377">
        <v>150.86000000000001</v>
      </c>
    </row>
    <row r="45" spans="1:7">
      <c r="A45" s="1377">
        <v>147.05000000000001</v>
      </c>
    </row>
    <row r="46" spans="1:7">
      <c r="A46" s="1377">
        <v>147.01</v>
      </c>
    </row>
    <row r="47" spans="1:7">
      <c r="A47" s="1377">
        <v>147.49</v>
      </c>
    </row>
    <row r="48" spans="1:7">
      <c r="A48" s="1377">
        <v>157.49</v>
      </c>
    </row>
    <row r="49" spans="1:1">
      <c r="A49" s="1377">
        <v>145.75</v>
      </c>
    </row>
    <row r="50" spans="1:1">
      <c r="A50" s="1377">
        <v>150.41</v>
      </c>
    </row>
    <row r="51" spans="1:1">
      <c r="A51" s="1377">
        <v>152.72</v>
      </c>
    </row>
    <row r="52" spans="1:1">
      <c r="A52" s="484"/>
    </row>
    <row r="53" spans="1:1">
      <c r="A53" s="484"/>
    </row>
    <row r="54" spans="1:1">
      <c r="A54" s="484"/>
    </row>
    <row r="55" spans="1:1">
      <c r="A55" s="484"/>
    </row>
    <row r="56" spans="1:1">
      <c r="A56" s="484"/>
    </row>
    <row r="57" spans="1:1">
      <c r="A57" s="484"/>
    </row>
    <row r="58" spans="1:1">
      <c r="A58" s="484"/>
    </row>
    <row r="59" spans="1:1">
      <c r="A59" s="484"/>
    </row>
    <row r="60" spans="1:1">
      <c r="A60" s="484"/>
    </row>
    <row r="61" spans="1:1">
      <c r="A61" s="484"/>
    </row>
    <row r="62" spans="1:1">
      <c r="A62" s="484"/>
    </row>
    <row r="63" spans="1:1">
      <c r="A63" s="484"/>
    </row>
    <row r="64" spans="1:1">
      <c r="A64" s="484"/>
    </row>
    <row r="65" spans="1:1">
      <c r="A65" s="484"/>
    </row>
    <row r="66" spans="1:1">
      <c r="A66" s="484"/>
    </row>
    <row r="67" spans="1:1">
      <c r="A67" s="484"/>
    </row>
    <row r="68" spans="1:1">
      <c r="A68" s="484"/>
    </row>
    <row r="69" spans="1:1">
      <c r="A69" s="484"/>
    </row>
    <row r="70" spans="1:1">
      <c r="A70" s="484"/>
    </row>
    <row r="71" spans="1:1">
      <c r="A71" s="484"/>
    </row>
    <row r="72" spans="1:1">
      <c r="A72" s="484"/>
    </row>
    <row r="73" spans="1:1">
      <c r="A73" s="484"/>
    </row>
    <row r="74" spans="1:1">
      <c r="A74" s="484"/>
    </row>
    <row r="75" spans="1:1">
      <c r="A75" s="484"/>
    </row>
    <row r="76" spans="1:1">
      <c r="A76" s="484"/>
    </row>
    <row r="77" spans="1:1">
      <c r="A77" s="484"/>
    </row>
    <row r="78" spans="1:1">
      <c r="A78" s="484"/>
    </row>
    <row r="79" spans="1:1">
      <c r="A79" s="484"/>
    </row>
    <row r="80" spans="1:1">
      <c r="A80" s="484"/>
    </row>
    <row r="81" spans="1:1">
      <c r="A81" s="484"/>
    </row>
    <row r="82" spans="1:1">
      <c r="A82" s="484"/>
    </row>
    <row r="83" spans="1:1">
      <c r="A83" s="484"/>
    </row>
    <row r="84" spans="1:1">
      <c r="A84" s="484"/>
    </row>
    <row r="85" spans="1:1">
      <c r="A85" s="484"/>
    </row>
    <row r="86" spans="1:1">
      <c r="A86" s="484"/>
    </row>
    <row r="87" spans="1:1">
      <c r="A87" s="484"/>
    </row>
    <row r="88" spans="1:1">
      <c r="A88" s="484"/>
    </row>
    <row r="89" spans="1:1">
      <c r="A89" s="484"/>
    </row>
    <row r="90" spans="1:1">
      <c r="A90" s="484"/>
    </row>
    <row r="91" spans="1:1">
      <c r="A91" s="484"/>
    </row>
    <row r="92" spans="1:1">
      <c r="A92" s="484"/>
    </row>
    <row r="93" spans="1:1">
      <c r="A93" s="484"/>
    </row>
    <row r="94" spans="1:1">
      <c r="A94" s="484"/>
    </row>
    <row r="95" spans="1:1">
      <c r="A95" s="484"/>
    </row>
    <row r="96" spans="1:1">
      <c r="A96" s="484"/>
    </row>
    <row r="97" spans="1:1">
      <c r="A97" s="484"/>
    </row>
    <row r="98" spans="1:1">
      <c r="A98" s="484"/>
    </row>
    <row r="99" spans="1:1">
      <c r="A99" s="484"/>
    </row>
    <row r="100" spans="1:1">
      <c r="A100" s="484"/>
    </row>
    <row r="101" spans="1:1">
      <c r="A101" s="484"/>
    </row>
    <row r="102" spans="1:1">
      <c r="A102" s="484"/>
    </row>
    <row r="103" spans="1:1">
      <c r="A103" s="484"/>
    </row>
    <row r="104" spans="1:1">
      <c r="A104" s="484"/>
    </row>
    <row r="105" spans="1:1">
      <c r="A105" s="484"/>
    </row>
    <row r="106" spans="1:1">
      <c r="A106" s="484"/>
    </row>
    <row r="107" spans="1:1">
      <c r="A107" s="484"/>
    </row>
    <row r="108" spans="1:1">
      <c r="A108" s="484"/>
    </row>
    <row r="109" spans="1:1">
      <c r="A109" s="484"/>
    </row>
    <row r="110" spans="1:1">
      <c r="A110" s="484"/>
    </row>
    <row r="111" spans="1:1">
      <c r="A111" s="484"/>
    </row>
    <row r="112" spans="1:1">
      <c r="A112" s="484"/>
    </row>
    <row r="113" spans="1:1">
      <c r="A113" s="484"/>
    </row>
    <row r="114" spans="1:1">
      <c r="A114" s="484"/>
    </row>
    <row r="115" spans="1:1">
      <c r="A115" s="484"/>
    </row>
    <row r="116" spans="1:1">
      <c r="A116" s="484"/>
    </row>
    <row r="117" spans="1:1">
      <c r="A117" s="484"/>
    </row>
    <row r="118" spans="1:1">
      <c r="A118" s="484"/>
    </row>
    <row r="119" spans="1:1">
      <c r="A119" s="484"/>
    </row>
    <row r="120" spans="1:1">
      <c r="A120" s="484"/>
    </row>
    <row r="121" spans="1:1">
      <c r="A121" s="484"/>
    </row>
    <row r="122" spans="1:1">
      <c r="A122" s="484"/>
    </row>
    <row r="123" spans="1:1">
      <c r="A123" s="484"/>
    </row>
    <row r="124" spans="1:1">
      <c r="A124" s="484"/>
    </row>
    <row r="125" spans="1:1">
      <c r="A125" s="484"/>
    </row>
    <row r="126" spans="1:1">
      <c r="A126" s="484"/>
    </row>
    <row r="127" spans="1:1">
      <c r="A127" s="484"/>
    </row>
    <row r="128" spans="1:1">
      <c r="A128" s="484"/>
    </row>
    <row r="129" spans="1:1">
      <c r="A129" s="484"/>
    </row>
    <row r="130" spans="1:1">
      <c r="A130" s="484"/>
    </row>
    <row r="131" spans="1:1">
      <c r="A131" s="484"/>
    </row>
    <row r="132" spans="1:1">
      <c r="A132" s="484"/>
    </row>
    <row r="133" spans="1:1">
      <c r="A133" s="484"/>
    </row>
    <row r="134" spans="1:1">
      <c r="A134" s="484"/>
    </row>
    <row r="135" spans="1:1">
      <c r="A135" s="484"/>
    </row>
    <row r="136" spans="1:1">
      <c r="A136" s="484"/>
    </row>
    <row r="137" spans="1:1">
      <c r="A137" s="484"/>
    </row>
    <row r="138" spans="1:1">
      <c r="A138" s="484"/>
    </row>
    <row r="139" spans="1:1">
      <c r="A139" s="484"/>
    </row>
    <row r="140" spans="1:1">
      <c r="A140" s="484"/>
    </row>
    <row r="141" spans="1:1">
      <c r="A141" s="484"/>
    </row>
    <row r="142" spans="1:1">
      <c r="A142" s="484"/>
    </row>
    <row r="143" spans="1:1">
      <c r="A143" s="484"/>
    </row>
    <row r="144" spans="1:1">
      <c r="A144" s="484"/>
    </row>
    <row r="145" spans="1:1">
      <c r="A145" s="484"/>
    </row>
    <row r="146" spans="1:1">
      <c r="A146" s="484"/>
    </row>
    <row r="147" spans="1:1">
      <c r="A147" s="484"/>
    </row>
    <row r="148" spans="1:1">
      <c r="A148" s="484"/>
    </row>
    <row r="149" spans="1:1">
      <c r="A149" s="484"/>
    </row>
    <row r="150" spans="1:1">
      <c r="A150" s="484"/>
    </row>
    <row r="151" spans="1:1">
      <c r="A151" s="484"/>
    </row>
    <row r="152" spans="1:1">
      <c r="A152" s="491"/>
    </row>
    <row r="153" spans="1:1">
      <c r="A153" s="491"/>
    </row>
    <row r="154" spans="1:1">
      <c r="A154" s="491"/>
    </row>
    <row r="155" spans="1:1">
      <c r="A155" s="491"/>
    </row>
    <row r="156" spans="1:1">
      <c r="A156" s="491"/>
    </row>
    <row r="157" spans="1:1">
      <c r="A157" s="491"/>
    </row>
    <row r="158" spans="1:1">
      <c r="A158" s="491"/>
    </row>
    <row r="159" spans="1:1">
      <c r="A159" s="491"/>
    </row>
    <row r="160" spans="1:1">
      <c r="A160" s="491"/>
    </row>
    <row r="161" spans="1:1">
      <c r="A161" s="491"/>
    </row>
    <row r="162" spans="1:1">
      <c r="A162" s="491"/>
    </row>
    <row r="163" spans="1:1">
      <c r="A163" s="491"/>
    </row>
    <row r="164" spans="1:1">
      <c r="A164" s="491"/>
    </row>
    <row r="165" spans="1:1">
      <c r="A165" s="491"/>
    </row>
    <row r="166" spans="1:1">
      <c r="A166" s="491"/>
    </row>
    <row r="167" spans="1:1">
      <c r="A167" s="491"/>
    </row>
    <row r="168" spans="1:1">
      <c r="A168" s="491"/>
    </row>
    <row r="169" spans="1:1">
      <c r="A169" s="491"/>
    </row>
    <row r="170" spans="1:1">
      <c r="A170" s="491"/>
    </row>
    <row r="171" spans="1:1">
      <c r="A171" s="491"/>
    </row>
    <row r="172" spans="1:1">
      <c r="A172" s="491"/>
    </row>
    <row r="173" spans="1:1">
      <c r="A173" s="491"/>
    </row>
    <row r="174" spans="1:1">
      <c r="A174" s="491"/>
    </row>
    <row r="175" spans="1:1">
      <c r="A175" s="491"/>
    </row>
    <row r="176" spans="1:1">
      <c r="A176" s="491"/>
    </row>
    <row r="177" spans="1:1">
      <c r="A177" s="491"/>
    </row>
    <row r="178" spans="1:1">
      <c r="A178" s="491"/>
    </row>
    <row r="179" spans="1:1">
      <c r="A179" s="491"/>
    </row>
    <row r="180" spans="1:1">
      <c r="A180" s="491"/>
    </row>
    <row r="181" spans="1:1">
      <c r="A181" s="491"/>
    </row>
    <row r="182" spans="1:1">
      <c r="A182" s="491"/>
    </row>
    <row r="183" spans="1:1">
      <c r="A183" s="491"/>
    </row>
    <row r="184" spans="1:1">
      <c r="A184" s="491"/>
    </row>
    <row r="185" spans="1:1">
      <c r="A185" s="491"/>
    </row>
    <row r="186" spans="1:1">
      <c r="A186" s="491"/>
    </row>
    <row r="187" spans="1:1">
      <c r="A187" s="491"/>
    </row>
    <row r="188" spans="1:1">
      <c r="A188" s="491"/>
    </row>
    <row r="189" spans="1:1">
      <c r="A189" s="491"/>
    </row>
    <row r="190" spans="1:1">
      <c r="A190" s="491"/>
    </row>
    <row r="191" spans="1:1">
      <c r="A191" s="491"/>
    </row>
    <row r="192" spans="1:1">
      <c r="A192" s="491"/>
    </row>
    <row r="193" spans="1:1">
      <c r="A193" s="491"/>
    </row>
    <row r="194" spans="1:1">
      <c r="A194" s="491"/>
    </row>
    <row r="195" spans="1:1">
      <c r="A195" s="491"/>
    </row>
    <row r="196" spans="1:1">
      <c r="A196" s="491"/>
    </row>
    <row r="197" spans="1:1">
      <c r="A197" s="491"/>
    </row>
    <row r="198" spans="1:1">
      <c r="A198" s="491"/>
    </row>
    <row r="199" spans="1:1">
      <c r="A199" s="491"/>
    </row>
    <row r="200" spans="1:1">
      <c r="A200" s="491"/>
    </row>
    <row r="201" spans="1:1">
      <c r="A201" s="491"/>
    </row>
    <row r="202" spans="1:1">
      <c r="A202" s="491"/>
    </row>
    <row r="203" spans="1:1">
      <c r="A203" s="491"/>
    </row>
    <row r="204" spans="1:1">
      <c r="A204" s="491"/>
    </row>
    <row r="205" spans="1:1">
      <c r="A205" s="491"/>
    </row>
    <row r="206" spans="1:1">
      <c r="A206" s="491"/>
    </row>
    <row r="207" spans="1:1">
      <c r="A207" s="491"/>
    </row>
    <row r="208" spans="1:1">
      <c r="A208" s="491"/>
    </row>
    <row r="209" spans="1:1">
      <c r="A209" s="491"/>
    </row>
    <row r="210" spans="1:1">
      <c r="A210" s="491"/>
    </row>
    <row r="211" spans="1:1">
      <c r="A211" s="491"/>
    </row>
    <row r="212" spans="1:1">
      <c r="A212" s="491"/>
    </row>
    <row r="213" spans="1:1">
      <c r="A213" s="491"/>
    </row>
    <row r="214" spans="1:1">
      <c r="A214" s="491"/>
    </row>
    <row r="215" spans="1:1">
      <c r="A215" s="491"/>
    </row>
    <row r="216" spans="1:1">
      <c r="A216" s="491"/>
    </row>
    <row r="217" spans="1:1">
      <c r="A217" s="491"/>
    </row>
    <row r="218" spans="1:1">
      <c r="A218" s="491"/>
    </row>
    <row r="219" spans="1:1">
      <c r="A219" s="491"/>
    </row>
    <row r="220" spans="1:1">
      <c r="A220" s="491"/>
    </row>
    <row r="221" spans="1:1">
      <c r="A221" s="491"/>
    </row>
    <row r="222" spans="1:1">
      <c r="A222" s="491"/>
    </row>
    <row r="223" spans="1:1">
      <c r="A223" s="491"/>
    </row>
    <row r="224" spans="1:1">
      <c r="A224" s="491"/>
    </row>
    <row r="225" spans="1:1">
      <c r="A225" s="491"/>
    </row>
    <row r="226" spans="1:1">
      <c r="A226" s="491"/>
    </row>
    <row r="227" spans="1:1">
      <c r="A227" s="491"/>
    </row>
    <row r="228" spans="1:1">
      <c r="A228" s="491"/>
    </row>
    <row r="229" spans="1:1">
      <c r="A229" s="491"/>
    </row>
    <row r="230" spans="1:1">
      <c r="A230" s="491"/>
    </row>
    <row r="231" spans="1:1">
      <c r="A231" s="491"/>
    </row>
    <row r="232" spans="1:1">
      <c r="A232" s="491"/>
    </row>
    <row r="233" spans="1:1">
      <c r="A233" s="491"/>
    </row>
    <row r="234" spans="1:1">
      <c r="A234" s="491"/>
    </row>
    <row r="235" spans="1:1">
      <c r="A235" s="491"/>
    </row>
    <row r="236" spans="1:1">
      <c r="A236" s="491"/>
    </row>
    <row r="237" spans="1:1">
      <c r="A237" s="491"/>
    </row>
    <row r="238" spans="1:1">
      <c r="A238" s="491"/>
    </row>
    <row r="239" spans="1:1">
      <c r="A239" s="491"/>
    </row>
    <row r="240" spans="1:1">
      <c r="A240" s="491"/>
    </row>
    <row r="241" spans="1:1">
      <c r="A241" s="491"/>
    </row>
    <row r="242" spans="1:1">
      <c r="A242" s="491"/>
    </row>
    <row r="243" spans="1:1">
      <c r="A243" s="491"/>
    </row>
    <row r="244" spans="1:1">
      <c r="A244" s="491"/>
    </row>
    <row r="245" spans="1:1">
      <c r="A245" s="491"/>
    </row>
    <row r="246" spans="1:1">
      <c r="A246" s="491"/>
    </row>
    <row r="247" spans="1:1">
      <c r="A247" s="491"/>
    </row>
    <row r="248" spans="1:1">
      <c r="A248" s="491"/>
    </row>
    <row r="249" spans="1:1">
      <c r="A249" s="491"/>
    </row>
    <row r="250" spans="1:1">
      <c r="A250" s="491"/>
    </row>
    <row r="251" spans="1:1">
      <c r="A251" s="491"/>
    </row>
    <row r="252" spans="1:1">
      <c r="A252" s="491"/>
    </row>
    <row r="253" spans="1:1">
      <c r="A253" s="491"/>
    </row>
    <row r="254" spans="1:1">
      <c r="A254" s="491"/>
    </row>
    <row r="255" spans="1:1">
      <c r="A255" s="491"/>
    </row>
    <row r="256" spans="1:1">
      <c r="A256" s="491"/>
    </row>
    <row r="257" spans="1:1">
      <c r="A257" s="491"/>
    </row>
    <row r="258" spans="1:1">
      <c r="A258" s="491"/>
    </row>
    <row r="259" spans="1:1">
      <c r="A259" s="491"/>
    </row>
    <row r="260" spans="1:1">
      <c r="A260" s="491"/>
    </row>
    <row r="261" spans="1:1">
      <c r="A261" s="491"/>
    </row>
    <row r="262" spans="1:1">
      <c r="A262" s="491"/>
    </row>
    <row r="263" spans="1:1">
      <c r="A263" s="491"/>
    </row>
    <row r="264" spans="1:1">
      <c r="A264" s="491"/>
    </row>
    <row r="265" spans="1:1">
      <c r="A265" s="491"/>
    </row>
    <row r="266" spans="1:1">
      <c r="A266" s="491"/>
    </row>
    <row r="267" spans="1:1">
      <c r="A267" s="491"/>
    </row>
    <row r="268" spans="1:1">
      <c r="A268" s="491"/>
    </row>
    <row r="269" spans="1:1">
      <c r="A269" s="491"/>
    </row>
    <row r="270" spans="1:1">
      <c r="A270" s="491"/>
    </row>
    <row r="271" spans="1:1">
      <c r="A271" s="491"/>
    </row>
    <row r="272" spans="1:1">
      <c r="A272" s="491"/>
    </row>
    <row r="273" spans="1:1">
      <c r="A273" s="491"/>
    </row>
    <row r="274" spans="1:1">
      <c r="A274" s="491"/>
    </row>
    <row r="275" spans="1:1">
      <c r="A275" s="491"/>
    </row>
    <row r="276" spans="1:1">
      <c r="A276" s="491"/>
    </row>
    <row r="277" spans="1:1">
      <c r="A277" s="491"/>
    </row>
    <row r="278" spans="1:1">
      <c r="A278" s="491"/>
    </row>
    <row r="279" spans="1:1">
      <c r="A279" s="491"/>
    </row>
    <row r="280" spans="1:1">
      <c r="A280" s="491"/>
    </row>
    <row r="281" spans="1:1">
      <c r="A281" s="491"/>
    </row>
    <row r="282" spans="1:1">
      <c r="A282" s="491"/>
    </row>
    <row r="283" spans="1:1">
      <c r="A283" s="491"/>
    </row>
    <row r="284" spans="1:1">
      <c r="A284" s="491"/>
    </row>
    <row r="285" spans="1:1">
      <c r="A285" s="491"/>
    </row>
    <row r="286" spans="1:1">
      <c r="A286" s="491"/>
    </row>
    <row r="287" spans="1:1">
      <c r="A287" s="491"/>
    </row>
    <row r="288" spans="1:1">
      <c r="A288" s="491"/>
    </row>
    <row r="289" spans="1:1">
      <c r="A289" s="491"/>
    </row>
    <row r="290" spans="1:1">
      <c r="A290" s="491"/>
    </row>
    <row r="291" spans="1:1">
      <c r="A291" s="491"/>
    </row>
    <row r="292" spans="1:1">
      <c r="A292" s="491"/>
    </row>
    <row r="293" spans="1:1">
      <c r="A293" s="491"/>
    </row>
    <row r="294" spans="1:1">
      <c r="A294" s="491"/>
    </row>
    <row r="295" spans="1:1">
      <c r="A295" s="491"/>
    </row>
    <row r="296" spans="1:1">
      <c r="A296" s="491"/>
    </row>
    <row r="297" spans="1:1">
      <c r="A297" s="491"/>
    </row>
    <row r="298" spans="1:1">
      <c r="A298" s="491"/>
    </row>
    <row r="299" spans="1:1">
      <c r="A299" s="491"/>
    </row>
    <row r="300" spans="1:1">
      <c r="A300" s="491"/>
    </row>
    <row r="301" spans="1:1">
      <c r="A301" s="491"/>
    </row>
    <row r="302" spans="1:1">
      <c r="A302" s="491"/>
    </row>
    <row r="303" spans="1:1">
      <c r="A303" s="491"/>
    </row>
    <row r="304" spans="1:1">
      <c r="A304" s="491"/>
    </row>
    <row r="305" spans="1:1">
      <c r="A305" s="491"/>
    </row>
    <row r="306" spans="1:1">
      <c r="A306" s="491"/>
    </row>
    <row r="307" spans="1:1">
      <c r="A307" s="491"/>
    </row>
    <row r="308" spans="1:1">
      <c r="A308" s="491"/>
    </row>
    <row r="309" spans="1:1">
      <c r="A309" s="491"/>
    </row>
    <row r="310" spans="1:1">
      <c r="A310" s="491"/>
    </row>
    <row r="311" spans="1:1">
      <c r="A311" s="491"/>
    </row>
    <row r="312" spans="1:1">
      <c r="A312" s="491"/>
    </row>
    <row r="313" spans="1:1">
      <c r="A313" s="491"/>
    </row>
    <row r="314" spans="1:1">
      <c r="A314" s="491"/>
    </row>
    <row r="315" spans="1:1">
      <c r="A315" s="491"/>
    </row>
    <row r="316" spans="1:1">
      <c r="A316" s="491"/>
    </row>
    <row r="317" spans="1:1">
      <c r="A317" s="491"/>
    </row>
    <row r="318" spans="1:1">
      <c r="A318" s="491"/>
    </row>
    <row r="319" spans="1:1">
      <c r="A319" s="491"/>
    </row>
    <row r="320" spans="1:1">
      <c r="A320" s="491"/>
    </row>
    <row r="321" spans="1:1">
      <c r="A321" s="491"/>
    </row>
    <row r="322" spans="1:1">
      <c r="A322" s="491"/>
    </row>
    <row r="323" spans="1:1">
      <c r="A323" s="491"/>
    </row>
    <row r="324" spans="1:1">
      <c r="A324" s="491"/>
    </row>
    <row r="325" spans="1:1">
      <c r="A325" s="491"/>
    </row>
    <row r="326" spans="1:1">
      <c r="A326" s="491"/>
    </row>
    <row r="327" spans="1:1">
      <c r="A327" s="491"/>
    </row>
    <row r="328" spans="1:1">
      <c r="A328" s="491"/>
    </row>
    <row r="329" spans="1:1">
      <c r="A329" s="491"/>
    </row>
    <row r="330" spans="1:1">
      <c r="A330" s="491"/>
    </row>
    <row r="331" spans="1:1">
      <c r="A331" s="491"/>
    </row>
    <row r="332" spans="1:1">
      <c r="A332" s="491"/>
    </row>
    <row r="333" spans="1:1">
      <c r="A333" s="491"/>
    </row>
    <row r="334" spans="1:1">
      <c r="A334" s="491"/>
    </row>
    <row r="335" spans="1:1">
      <c r="A335" s="491"/>
    </row>
    <row r="336" spans="1:1">
      <c r="A336" s="491"/>
    </row>
    <row r="337" spans="1:1">
      <c r="A337" s="491"/>
    </row>
    <row r="338" spans="1:1">
      <c r="A338" s="491"/>
    </row>
    <row r="339" spans="1:1">
      <c r="A339" s="491"/>
    </row>
    <row r="340" spans="1:1">
      <c r="A340" s="491"/>
    </row>
    <row r="341" spans="1:1">
      <c r="A341" s="491"/>
    </row>
    <row r="342" spans="1:1">
      <c r="A342" s="491"/>
    </row>
    <row r="343" spans="1:1">
      <c r="A343" s="491"/>
    </row>
    <row r="344" spans="1:1">
      <c r="A344" s="491"/>
    </row>
    <row r="345" spans="1:1">
      <c r="A345" s="491"/>
    </row>
    <row r="346" spans="1:1">
      <c r="A346" s="491"/>
    </row>
    <row r="347" spans="1:1">
      <c r="A347" s="491"/>
    </row>
    <row r="348" spans="1:1">
      <c r="A348" s="491"/>
    </row>
    <row r="349" spans="1:1">
      <c r="A349" s="491"/>
    </row>
    <row r="350" spans="1:1">
      <c r="A350" s="491"/>
    </row>
    <row r="351" spans="1:1">
      <c r="A351" s="491"/>
    </row>
    <row r="352" spans="1:1">
      <c r="A352" s="491"/>
    </row>
    <row r="353" spans="1:1">
      <c r="A353" s="491"/>
    </row>
    <row r="354" spans="1:1">
      <c r="A354" s="491"/>
    </row>
    <row r="355" spans="1:1">
      <c r="A355" s="491"/>
    </row>
    <row r="356" spans="1:1">
      <c r="A356" s="491"/>
    </row>
    <row r="357" spans="1:1">
      <c r="A357" s="491"/>
    </row>
    <row r="358" spans="1:1">
      <c r="A358" s="491"/>
    </row>
    <row r="359" spans="1:1">
      <c r="A359" s="491"/>
    </row>
    <row r="360" spans="1:1">
      <c r="A360" s="491"/>
    </row>
    <row r="361" spans="1:1">
      <c r="A361" s="491"/>
    </row>
    <row r="362" spans="1:1">
      <c r="A362" s="491"/>
    </row>
    <row r="363" spans="1:1">
      <c r="A363" s="491"/>
    </row>
    <row r="364" spans="1:1">
      <c r="A364" s="491"/>
    </row>
    <row r="365" spans="1:1">
      <c r="A365" s="491"/>
    </row>
    <row r="366" spans="1:1">
      <c r="A366" s="491"/>
    </row>
    <row r="367" spans="1:1">
      <c r="A367" s="491"/>
    </row>
    <row r="368" spans="1:1">
      <c r="A368" s="491"/>
    </row>
    <row r="369" spans="1:1">
      <c r="A369" s="491"/>
    </row>
    <row r="370" spans="1:1">
      <c r="A370" s="491"/>
    </row>
    <row r="371" spans="1:1">
      <c r="A371" s="491"/>
    </row>
    <row r="372" spans="1:1">
      <c r="A372" s="491"/>
    </row>
    <row r="373" spans="1:1">
      <c r="A373" s="491"/>
    </row>
    <row r="374" spans="1:1">
      <c r="A374" s="491"/>
    </row>
    <row r="375" spans="1:1">
      <c r="A375" s="491"/>
    </row>
    <row r="376" spans="1:1">
      <c r="A376" s="491"/>
    </row>
    <row r="377" spans="1:1">
      <c r="A377" s="491"/>
    </row>
    <row r="378" spans="1:1">
      <c r="A378" s="491"/>
    </row>
    <row r="379" spans="1:1">
      <c r="A379" s="491"/>
    </row>
    <row r="380" spans="1:1">
      <c r="A380" s="491"/>
    </row>
    <row r="381" spans="1:1">
      <c r="A381" s="491"/>
    </row>
    <row r="382" spans="1:1">
      <c r="A382" s="491"/>
    </row>
    <row r="383" spans="1:1">
      <c r="A383" s="491"/>
    </row>
    <row r="384" spans="1:1">
      <c r="A384" s="491"/>
    </row>
    <row r="385" spans="1:1">
      <c r="A385" s="491"/>
    </row>
    <row r="386" spans="1:1">
      <c r="A386" s="491"/>
    </row>
    <row r="387" spans="1:1">
      <c r="A387" s="491"/>
    </row>
    <row r="388" spans="1:1">
      <c r="A388" s="491"/>
    </row>
    <row r="389" spans="1:1">
      <c r="A389" s="491"/>
    </row>
    <row r="390" spans="1:1">
      <c r="A390" s="491"/>
    </row>
    <row r="391" spans="1:1">
      <c r="A391" s="491"/>
    </row>
    <row r="392" spans="1:1">
      <c r="A392" s="491"/>
    </row>
    <row r="393" spans="1:1">
      <c r="A393" s="491"/>
    </row>
    <row r="394" spans="1:1">
      <c r="A394" s="491"/>
    </row>
    <row r="395" spans="1:1">
      <c r="A395" s="491"/>
    </row>
    <row r="396" spans="1:1">
      <c r="A396" s="491"/>
    </row>
    <row r="397" spans="1:1">
      <c r="A397" s="491"/>
    </row>
    <row r="398" spans="1:1">
      <c r="A398" s="491"/>
    </row>
    <row r="399" spans="1:1">
      <c r="A399" s="491"/>
    </row>
    <row r="400" spans="1:1">
      <c r="A400" s="491"/>
    </row>
    <row r="401" spans="1:1">
      <c r="A401" s="491"/>
    </row>
    <row r="402" spans="1:1">
      <c r="A402" s="491"/>
    </row>
    <row r="403" spans="1:1">
      <c r="A403" s="491"/>
    </row>
    <row r="404" spans="1:1">
      <c r="A404" s="491"/>
    </row>
    <row r="405" spans="1:1">
      <c r="A405" s="491"/>
    </row>
    <row r="406" spans="1:1">
      <c r="A406" s="491"/>
    </row>
    <row r="407" spans="1:1">
      <c r="A407" s="491"/>
    </row>
    <row r="408" spans="1:1">
      <c r="A408" s="491"/>
    </row>
    <row r="409" spans="1:1">
      <c r="A409" s="491"/>
    </row>
    <row r="410" spans="1:1">
      <c r="A410" s="491"/>
    </row>
    <row r="411" spans="1:1">
      <c r="A411" s="491"/>
    </row>
    <row r="412" spans="1:1">
      <c r="A412" s="491"/>
    </row>
    <row r="413" spans="1:1">
      <c r="A413" s="491"/>
    </row>
    <row r="414" spans="1:1">
      <c r="A414" s="491"/>
    </row>
    <row r="415" spans="1:1">
      <c r="A415" s="491"/>
    </row>
    <row r="416" spans="1:1">
      <c r="A416" s="491"/>
    </row>
    <row r="417" spans="1:1">
      <c r="A417" s="491"/>
    </row>
    <row r="418" spans="1:1">
      <c r="A418" s="491"/>
    </row>
    <row r="419" spans="1:1">
      <c r="A419" s="491"/>
    </row>
    <row r="420" spans="1:1">
      <c r="A420" s="491"/>
    </row>
    <row r="421" spans="1:1">
      <c r="A421" s="491"/>
    </row>
    <row r="422" spans="1:1">
      <c r="A422" s="491"/>
    </row>
    <row r="423" spans="1:1">
      <c r="A423" s="491"/>
    </row>
    <row r="424" spans="1:1">
      <c r="A424" s="491"/>
    </row>
    <row r="425" spans="1:1">
      <c r="A425" s="491"/>
    </row>
    <row r="426" spans="1:1">
      <c r="A426" s="491"/>
    </row>
    <row r="427" spans="1:1">
      <c r="A427" s="491"/>
    </row>
    <row r="428" spans="1:1">
      <c r="A428" s="491"/>
    </row>
    <row r="429" spans="1:1">
      <c r="A429" s="491"/>
    </row>
    <row r="430" spans="1:1">
      <c r="A430" s="491"/>
    </row>
    <row r="431" spans="1:1">
      <c r="A431" s="491"/>
    </row>
    <row r="432" spans="1:1">
      <c r="A432" s="491"/>
    </row>
    <row r="433" spans="1:1">
      <c r="A433" s="491"/>
    </row>
    <row r="434" spans="1:1">
      <c r="A434" s="491"/>
    </row>
    <row r="435" spans="1:1">
      <c r="A435" s="491"/>
    </row>
    <row r="436" spans="1:1">
      <c r="A436" s="491"/>
    </row>
    <row r="437" spans="1:1">
      <c r="A437" s="491"/>
    </row>
    <row r="438" spans="1:1">
      <c r="A438" s="491"/>
    </row>
    <row r="439" spans="1:1">
      <c r="A439" s="491"/>
    </row>
    <row r="440" spans="1:1">
      <c r="A440" s="491"/>
    </row>
    <row r="441" spans="1:1">
      <c r="A441" s="491"/>
    </row>
    <row r="442" spans="1:1">
      <c r="A442" s="491"/>
    </row>
    <row r="443" spans="1:1">
      <c r="A443" s="491"/>
    </row>
    <row r="444" spans="1:1">
      <c r="A444" s="491"/>
    </row>
    <row r="445" spans="1:1">
      <c r="A445" s="491"/>
    </row>
    <row r="446" spans="1:1">
      <c r="A446" s="491"/>
    </row>
    <row r="447" spans="1:1">
      <c r="A447" s="491"/>
    </row>
    <row r="448" spans="1:1">
      <c r="A448" s="491"/>
    </row>
    <row r="449" spans="1:1">
      <c r="A449" s="491"/>
    </row>
    <row r="450" spans="1:1">
      <c r="A450" s="491"/>
    </row>
    <row r="451" spans="1:1">
      <c r="A451" s="491"/>
    </row>
    <row r="452" spans="1:1">
      <c r="A452" s="491"/>
    </row>
    <row r="453" spans="1:1">
      <c r="A453" s="491"/>
    </row>
    <row r="454" spans="1:1">
      <c r="A454" s="491"/>
    </row>
    <row r="455" spans="1:1">
      <c r="A455" s="491"/>
    </row>
    <row r="456" spans="1:1">
      <c r="A456" s="491"/>
    </row>
    <row r="457" spans="1:1">
      <c r="A457" s="491"/>
    </row>
    <row r="458" spans="1:1">
      <c r="A458" s="491"/>
    </row>
    <row r="459" spans="1:1">
      <c r="A459" s="491"/>
    </row>
    <row r="460" spans="1:1">
      <c r="A460" s="491"/>
    </row>
    <row r="461" spans="1:1">
      <c r="A461" s="491"/>
    </row>
    <row r="462" spans="1:1">
      <c r="A462" s="491"/>
    </row>
    <row r="463" spans="1:1">
      <c r="A463" s="491"/>
    </row>
    <row r="464" spans="1:1">
      <c r="A464" s="491"/>
    </row>
    <row r="465" spans="1:1">
      <c r="A465" s="491"/>
    </row>
    <row r="466" spans="1:1">
      <c r="A466" s="491"/>
    </row>
    <row r="467" spans="1:1">
      <c r="A467" s="491"/>
    </row>
    <row r="468" spans="1:1">
      <c r="A468" s="491"/>
    </row>
    <row r="469" spans="1:1">
      <c r="A469" s="491"/>
    </row>
    <row r="470" spans="1:1">
      <c r="A470" s="491"/>
    </row>
    <row r="471" spans="1:1">
      <c r="A471" s="491"/>
    </row>
    <row r="472" spans="1:1">
      <c r="A472" s="491"/>
    </row>
    <row r="473" spans="1:1">
      <c r="A473" s="491"/>
    </row>
    <row r="474" spans="1:1">
      <c r="A474" s="491"/>
    </row>
    <row r="475" spans="1:1">
      <c r="A475" s="491"/>
    </row>
    <row r="476" spans="1:1">
      <c r="A476" s="491"/>
    </row>
    <row r="477" spans="1:1">
      <c r="A477" s="491"/>
    </row>
    <row r="478" spans="1:1">
      <c r="A478" s="491"/>
    </row>
    <row r="479" spans="1:1">
      <c r="A479" s="491"/>
    </row>
    <row r="480" spans="1:1">
      <c r="A480" s="491"/>
    </row>
    <row r="481" spans="1:1">
      <c r="A481" s="491"/>
    </row>
    <row r="482" spans="1:1">
      <c r="A482" s="491"/>
    </row>
    <row r="483" spans="1:1">
      <c r="A483" s="491"/>
    </row>
    <row r="484" spans="1:1">
      <c r="A484" s="491"/>
    </row>
    <row r="485" spans="1:1">
      <c r="A485" s="491"/>
    </row>
    <row r="486" spans="1:1">
      <c r="A486" s="491"/>
    </row>
    <row r="487" spans="1:1">
      <c r="A487" s="491"/>
    </row>
    <row r="488" spans="1:1">
      <c r="A488" s="491"/>
    </row>
    <row r="489" spans="1:1">
      <c r="A489" s="491"/>
    </row>
    <row r="490" spans="1:1">
      <c r="A490" s="491"/>
    </row>
    <row r="491" spans="1:1">
      <c r="A491" s="491"/>
    </row>
    <row r="492" spans="1:1">
      <c r="A492" s="491"/>
    </row>
    <row r="493" spans="1:1">
      <c r="A493" s="491"/>
    </row>
    <row r="494" spans="1:1">
      <c r="A494" s="491"/>
    </row>
    <row r="495" spans="1:1">
      <c r="A495" s="491"/>
    </row>
    <row r="496" spans="1:1">
      <c r="A496" s="491"/>
    </row>
    <row r="497" spans="1:1">
      <c r="A497" s="491"/>
    </row>
    <row r="498" spans="1:1">
      <c r="A498" s="491"/>
    </row>
    <row r="499" spans="1:1">
      <c r="A499" s="491"/>
    </row>
    <row r="500" spans="1:1">
      <c r="A500" s="491"/>
    </row>
    <row r="501" spans="1:1">
      <c r="A501" s="491"/>
    </row>
  </sheetData>
  <mergeCells count="1">
    <mergeCell ref="F28:G28"/>
  </mergeCells>
  <pageMargins left="0.7" right="0.7" top="0.75" bottom="0.75" header="0.3" footer="0.3"/>
  <pageSetup paperSize="9" orientation="portrait" horizontalDpi="300" verticalDpi="300" r:id="rId1"/>
  <drawing r:id="rId2"/>
  <legacyDrawing r:id="rId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92493-D7CD-405C-8147-C43C112573C8}">
  <sheetPr codeName="Sheet2">
    <tabColor rgb="FFFFFF00"/>
    <pageSetUpPr fitToPage="1"/>
  </sheetPr>
  <dimension ref="A1:Q534"/>
  <sheetViews>
    <sheetView topLeftCell="A28" zoomScaleNormal="100" workbookViewId="0">
      <selection activeCell="A34" sqref="A34:A83"/>
    </sheetView>
  </sheetViews>
  <sheetFormatPr defaultColWidth="9.28515625" defaultRowHeight="12.75" customHeight="1"/>
  <cols>
    <col min="1" max="1" width="9.28515625" style="244"/>
    <col min="2" max="2" width="9.28515625" style="246"/>
    <col min="3" max="3" width="10.28515625" style="246" customWidth="1"/>
    <col min="4" max="5" width="10.7109375" style="246" customWidth="1"/>
    <col min="6" max="7" width="10.42578125" style="246" customWidth="1"/>
    <col min="8" max="258" width="9.28515625" style="246"/>
    <col min="259" max="259" width="10.28515625" style="246" customWidth="1"/>
    <col min="260" max="261" width="10.7109375" style="246" customWidth="1"/>
    <col min="262" max="263" width="10.42578125" style="246" customWidth="1"/>
    <col min="264" max="514" width="9.28515625" style="246"/>
    <col min="515" max="515" width="10.28515625" style="246" customWidth="1"/>
    <col min="516" max="517" width="10.7109375" style="246" customWidth="1"/>
    <col min="518" max="519" width="10.42578125" style="246" customWidth="1"/>
    <col min="520" max="770" width="9.28515625" style="246"/>
    <col min="771" max="771" width="10.28515625" style="246" customWidth="1"/>
    <col min="772" max="773" width="10.7109375" style="246" customWidth="1"/>
    <col min="774" max="775" width="10.42578125" style="246" customWidth="1"/>
    <col min="776" max="1026" width="9.28515625" style="246"/>
    <col min="1027" max="1027" width="10.28515625" style="246" customWidth="1"/>
    <col min="1028" max="1029" width="10.7109375" style="246" customWidth="1"/>
    <col min="1030" max="1031" width="10.42578125" style="246" customWidth="1"/>
    <col min="1032" max="1282" width="9.28515625" style="246"/>
    <col min="1283" max="1283" width="10.28515625" style="246" customWidth="1"/>
    <col min="1284" max="1285" width="10.7109375" style="246" customWidth="1"/>
    <col min="1286" max="1287" width="10.42578125" style="246" customWidth="1"/>
    <col min="1288" max="1538" width="9.28515625" style="246"/>
    <col min="1539" max="1539" width="10.28515625" style="246" customWidth="1"/>
    <col min="1540" max="1541" width="10.7109375" style="246" customWidth="1"/>
    <col min="1542" max="1543" width="10.42578125" style="246" customWidth="1"/>
    <col min="1544" max="1794" width="9.28515625" style="246"/>
    <col min="1795" max="1795" width="10.28515625" style="246" customWidth="1"/>
    <col min="1796" max="1797" width="10.7109375" style="246" customWidth="1"/>
    <col min="1798" max="1799" width="10.42578125" style="246" customWidth="1"/>
    <col min="1800" max="2050" width="9.28515625" style="246"/>
    <col min="2051" max="2051" width="10.28515625" style="246" customWidth="1"/>
    <col min="2052" max="2053" width="10.7109375" style="246" customWidth="1"/>
    <col min="2054" max="2055" width="10.42578125" style="246" customWidth="1"/>
    <col min="2056" max="2306" width="9.28515625" style="246"/>
    <col min="2307" max="2307" width="10.28515625" style="246" customWidth="1"/>
    <col min="2308" max="2309" width="10.7109375" style="246" customWidth="1"/>
    <col min="2310" max="2311" width="10.42578125" style="246" customWidth="1"/>
    <col min="2312" max="2562" width="9.28515625" style="246"/>
    <col min="2563" max="2563" width="10.28515625" style="246" customWidth="1"/>
    <col min="2564" max="2565" width="10.7109375" style="246" customWidth="1"/>
    <col min="2566" max="2567" width="10.42578125" style="246" customWidth="1"/>
    <col min="2568" max="2818" width="9.28515625" style="246"/>
    <col min="2819" max="2819" width="10.28515625" style="246" customWidth="1"/>
    <col min="2820" max="2821" width="10.7109375" style="246" customWidth="1"/>
    <col min="2822" max="2823" width="10.42578125" style="246" customWidth="1"/>
    <col min="2824" max="3074" width="9.28515625" style="246"/>
    <col min="3075" max="3075" width="10.28515625" style="246" customWidth="1"/>
    <col min="3076" max="3077" width="10.7109375" style="246" customWidth="1"/>
    <col min="3078" max="3079" width="10.42578125" style="246" customWidth="1"/>
    <col min="3080" max="3330" width="9.28515625" style="246"/>
    <col min="3331" max="3331" width="10.28515625" style="246" customWidth="1"/>
    <col min="3332" max="3333" width="10.7109375" style="246" customWidth="1"/>
    <col min="3334" max="3335" width="10.42578125" style="246" customWidth="1"/>
    <col min="3336" max="3586" width="9.28515625" style="246"/>
    <col min="3587" max="3587" width="10.28515625" style="246" customWidth="1"/>
    <col min="3588" max="3589" width="10.7109375" style="246" customWidth="1"/>
    <col min="3590" max="3591" width="10.42578125" style="246" customWidth="1"/>
    <col min="3592" max="3842" width="9.28515625" style="246"/>
    <col min="3843" max="3843" width="10.28515625" style="246" customWidth="1"/>
    <col min="3844" max="3845" width="10.7109375" style="246" customWidth="1"/>
    <col min="3846" max="3847" width="10.42578125" style="246" customWidth="1"/>
    <col min="3848" max="4098" width="9.28515625" style="246"/>
    <col min="4099" max="4099" width="10.28515625" style="246" customWidth="1"/>
    <col min="4100" max="4101" width="10.7109375" style="246" customWidth="1"/>
    <col min="4102" max="4103" width="10.42578125" style="246" customWidth="1"/>
    <col min="4104" max="4354" width="9.28515625" style="246"/>
    <col min="4355" max="4355" width="10.28515625" style="246" customWidth="1"/>
    <col min="4356" max="4357" width="10.7109375" style="246" customWidth="1"/>
    <col min="4358" max="4359" width="10.42578125" style="246" customWidth="1"/>
    <col min="4360" max="4610" width="9.28515625" style="246"/>
    <col min="4611" max="4611" width="10.28515625" style="246" customWidth="1"/>
    <col min="4612" max="4613" width="10.7109375" style="246" customWidth="1"/>
    <col min="4614" max="4615" width="10.42578125" style="246" customWidth="1"/>
    <col min="4616" max="4866" width="9.28515625" style="246"/>
    <col min="4867" max="4867" width="10.28515625" style="246" customWidth="1"/>
    <col min="4868" max="4869" width="10.7109375" style="246" customWidth="1"/>
    <col min="4870" max="4871" width="10.42578125" style="246" customWidth="1"/>
    <col min="4872" max="5122" width="9.28515625" style="246"/>
    <col min="5123" max="5123" width="10.28515625" style="246" customWidth="1"/>
    <col min="5124" max="5125" width="10.7109375" style="246" customWidth="1"/>
    <col min="5126" max="5127" width="10.42578125" style="246" customWidth="1"/>
    <col min="5128" max="5378" width="9.28515625" style="246"/>
    <col min="5379" max="5379" width="10.28515625" style="246" customWidth="1"/>
    <col min="5380" max="5381" width="10.7109375" style="246" customWidth="1"/>
    <col min="5382" max="5383" width="10.42578125" style="246" customWidth="1"/>
    <col min="5384" max="5634" width="9.28515625" style="246"/>
    <col min="5635" max="5635" width="10.28515625" style="246" customWidth="1"/>
    <col min="5636" max="5637" width="10.7109375" style="246" customWidth="1"/>
    <col min="5638" max="5639" width="10.42578125" style="246" customWidth="1"/>
    <col min="5640" max="5890" width="9.28515625" style="246"/>
    <col min="5891" max="5891" width="10.28515625" style="246" customWidth="1"/>
    <col min="5892" max="5893" width="10.7109375" style="246" customWidth="1"/>
    <col min="5894" max="5895" width="10.42578125" style="246" customWidth="1"/>
    <col min="5896" max="6146" width="9.28515625" style="246"/>
    <col min="6147" max="6147" width="10.28515625" style="246" customWidth="1"/>
    <col min="6148" max="6149" width="10.7109375" style="246" customWidth="1"/>
    <col min="6150" max="6151" width="10.42578125" style="246" customWidth="1"/>
    <col min="6152" max="6402" width="9.28515625" style="246"/>
    <col min="6403" max="6403" width="10.28515625" style="246" customWidth="1"/>
    <col min="6404" max="6405" width="10.7109375" style="246" customWidth="1"/>
    <col min="6406" max="6407" width="10.42578125" style="246" customWidth="1"/>
    <col min="6408" max="6658" width="9.28515625" style="246"/>
    <col min="6659" max="6659" width="10.28515625" style="246" customWidth="1"/>
    <col min="6660" max="6661" width="10.7109375" style="246" customWidth="1"/>
    <col min="6662" max="6663" width="10.42578125" style="246" customWidth="1"/>
    <col min="6664" max="6914" width="9.28515625" style="246"/>
    <col min="6915" max="6915" width="10.28515625" style="246" customWidth="1"/>
    <col min="6916" max="6917" width="10.7109375" style="246" customWidth="1"/>
    <col min="6918" max="6919" width="10.42578125" style="246" customWidth="1"/>
    <col min="6920" max="7170" width="9.28515625" style="246"/>
    <col min="7171" max="7171" width="10.28515625" style="246" customWidth="1"/>
    <col min="7172" max="7173" width="10.7109375" style="246" customWidth="1"/>
    <col min="7174" max="7175" width="10.42578125" style="246" customWidth="1"/>
    <col min="7176" max="7426" width="9.28515625" style="246"/>
    <col min="7427" max="7427" width="10.28515625" style="246" customWidth="1"/>
    <col min="7428" max="7429" width="10.7109375" style="246" customWidth="1"/>
    <col min="7430" max="7431" width="10.42578125" style="246" customWidth="1"/>
    <col min="7432" max="7682" width="9.28515625" style="246"/>
    <col min="7683" max="7683" width="10.28515625" style="246" customWidth="1"/>
    <col min="7684" max="7685" width="10.7109375" style="246" customWidth="1"/>
    <col min="7686" max="7687" width="10.42578125" style="246" customWidth="1"/>
    <col min="7688" max="7938" width="9.28515625" style="246"/>
    <col min="7939" max="7939" width="10.28515625" style="246" customWidth="1"/>
    <col min="7940" max="7941" width="10.7109375" style="246" customWidth="1"/>
    <col min="7942" max="7943" width="10.42578125" style="246" customWidth="1"/>
    <col min="7944" max="8194" width="9.28515625" style="246"/>
    <col min="8195" max="8195" width="10.28515625" style="246" customWidth="1"/>
    <col min="8196" max="8197" width="10.7109375" style="246" customWidth="1"/>
    <col min="8198" max="8199" width="10.42578125" style="246" customWidth="1"/>
    <col min="8200" max="8450" width="9.28515625" style="246"/>
    <col min="8451" max="8451" width="10.28515625" style="246" customWidth="1"/>
    <col min="8452" max="8453" width="10.7109375" style="246" customWidth="1"/>
    <col min="8454" max="8455" width="10.42578125" style="246" customWidth="1"/>
    <col min="8456" max="8706" width="9.28515625" style="246"/>
    <col min="8707" max="8707" width="10.28515625" style="246" customWidth="1"/>
    <col min="8708" max="8709" width="10.7109375" style="246" customWidth="1"/>
    <col min="8710" max="8711" width="10.42578125" style="246" customWidth="1"/>
    <col min="8712" max="8962" width="9.28515625" style="246"/>
    <col min="8963" max="8963" width="10.28515625" style="246" customWidth="1"/>
    <col min="8964" max="8965" width="10.7109375" style="246" customWidth="1"/>
    <col min="8966" max="8967" width="10.42578125" style="246" customWidth="1"/>
    <col min="8968" max="9218" width="9.28515625" style="246"/>
    <col min="9219" max="9219" width="10.28515625" style="246" customWidth="1"/>
    <col min="9220" max="9221" width="10.7109375" style="246" customWidth="1"/>
    <col min="9222" max="9223" width="10.42578125" style="246" customWidth="1"/>
    <col min="9224" max="9474" width="9.28515625" style="246"/>
    <col min="9475" max="9475" width="10.28515625" style="246" customWidth="1"/>
    <col min="9476" max="9477" width="10.7109375" style="246" customWidth="1"/>
    <col min="9478" max="9479" width="10.42578125" style="246" customWidth="1"/>
    <col min="9480" max="9730" width="9.28515625" style="246"/>
    <col min="9731" max="9731" width="10.28515625" style="246" customWidth="1"/>
    <col min="9732" max="9733" width="10.7109375" style="246" customWidth="1"/>
    <col min="9734" max="9735" width="10.42578125" style="246" customWidth="1"/>
    <col min="9736" max="9986" width="9.28515625" style="246"/>
    <col min="9987" max="9987" width="10.28515625" style="246" customWidth="1"/>
    <col min="9988" max="9989" width="10.7109375" style="246" customWidth="1"/>
    <col min="9990" max="9991" width="10.42578125" style="246" customWidth="1"/>
    <col min="9992" max="10242" width="9.28515625" style="246"/>
    <col min="10243" max="10243" width="10.28515625" style="246" customWidth="1"/>
    <col min="10244" max="10245" width="10.7109375" style="246" customWidth="1"/>
    <col min="10246" max="10247" width="10.42578125" style="246" customWidth="1"/>
    <col min="10248" max="10498" width="9.28515625" style="246"/>
    <col min="10499" max="10499" width="10.28515625" style="246" customWidth="1"/>
    <col min="10500" max="10501" width="10.7109375" style="246" customWidth="1"/>
    <col min="10502" max="10503" width="10.42578125" style="246" customWidth="1"/>
    <col min="10504" max="10754" width="9.28515625" style="246"/>
    <col min="10755" max="10755" width="10.28515625" style="246" customWidth="1"/>
    <col min="10756" max="10757" width="10.7109375" style="246" customWidth="1"/>
    <col min="10758" max="10759" width="10.42578125" style="246" customWidth="1"/>
    <col min="10760" max="11010" width="9.28515625" style="246"/>
    <col min="11011" max="11011" width="10.28515625" style="246" customWidth="1"/>
    <col min="11012" max="11013" width="10.7109375" style="246" customWidth="1"/>
    <col min="11014" max="11015" width="10.42578125" style="246" customWidth="1"/>
    <col min="11016" max="11266" width="9.28515625" style="246"/>
    <col min="11267" max="11267" width="10.28515625" style="246" customWidth="1"/>
    <col min="11268" max="11269" width="10.7109375" style="246" customWidth="1"/>
    <col min="11270" max="11271" width="10.42578125" style="246" customWidth="1"/>
    <col min="11272" max="11522" width="9.28515625" style="246"/>
    <col min="11523" max="11523" width="10.28515625" style="246" customWidth="1"/>
    <col min="11524" max="11525" width="10.7109375" style="246" customWidth="1"/>
    <col min="11526" max="11527" width="10.42578125" style="246" customWidth="1"/>
    <col min="11528" max="11778" width="9.28515625" style="246"/>
    <col min="11779" max="11779" width="10.28515625" style="246" customWidth="1"/>
    <col min="11780" max="11781" width="10.7109375" style="246" customWidth="1"/>
    <col min="11782" max="11783" width="10.42578125" style="246" customWidth="1"/>
    <col min="11784" max="12034" width="9.28515625" style="246"/>
    <col min="12035" max="12035" width="10.28515625" style="246" customWidth="1"/>
    <col min="12036" max="12037" width="10.7109375" style="246" customWidth="1"/>
    <col min="12038" max="12039" width="10.42578125" style="246" customWidth="1"/>
    <col min="12040" max="12290" width="9.28515625" style="246"/>
    <col min="12291" max="12291" width="10.28515625" style="246" customWidth="1"/>
    <col min="12292" max="12293" width="10.7109375" style="246" customWidth="1"/>
    <col min="12294" max="12295" width="10.42578125" style="246" customWidth="1"/>
    <col min="12296" max="12546" width="9.28515625" style="246"/>
    <col min="12547" max="12547" width="10.28515625" style="246" customWidth="1"/>
    <col min="12548" max="12549" width="10.7109375" style="246" customWidth="1"/>
    <col min="12550" max="12551" width="10.42578125" style="246" customWidth="1"/>
    <col min="12552" max="12802" width="9.28515625" style="246"/>
    <col min="12803" max="12803" width="10.28515625" style="246" customWidth="1"/>
    <col min="12804" max="12805" width="10.7109375" style="246" customWidth="1"/>
    <col min="12806" max="12807" width="10.42578125" style="246" customWidth="1"/>
    <col min="12808" max="13058" width="9.28515625" style="246"/>
    <col min="13059" max="13059" width="10.28515625" style="246" customWidth="1"/>
    <col min="13060" max="13061" width="10.7109375" style="246" customWidth="1"/>
    <col min="13062" max="13063" width="10.42578125" style="246" customWidth="1"/>
    <col min="13064" max="13314" width="9.28515625" style="246"/>
    <col min="13315" max="13315" width="10.28515625" style="246" customWidth="1"/>
    <col min="13316" max="13317" width="10.7109375" style="246" customWidth="1"/>
    <col min="13318" max="13319" width="10.42578125" style="246" customWidth="1"/>
    <col min="13320" max="13570" width="9.28515625" style="246"/>
    <col min="13571" max="13571" width="10.28515625" style="246" customWidth="1"/>
    <col min="13572" max="13573" width="10.7109375" style="246" customWidth="1"/>
    <col min="13574" max="13575" width="10.42578125" style="246" customWidth="1"/>
    <col min="13576" max="13826" width="9.28515625" style="246"/>
    <col min="13827" max="13827" width="10.28515625" style="246" customWidth="1"/>
    <col min="13828" max="13829" width="10.7109375" style="246" customWidth="1"/>
    <col min="13830" max="13831" width="10.42578125" style="246" customWidth="1"/>
    <col min="13832" max="14082" width="9.28515625" style="246"/>
    <col min="14083" max="14083" width="10.28515625" style="246" customWidth="1"/>
    <col min="14084" max="14085" width="10.7109375" style="246" customWidth="1"/>
    <col min="14086" max="14087" width="10.42578125" style="246" customWidth="1"/>
    <col min="14088" max="14338" width="9.28515625" style="246"/>
    <col min="14339" max="14339" width="10.28515625" style="246" customWidth="1"/>
    <col min="14340" max="14341" width="10.7109375" style="246" customWidth="1"/>
    <col min="14342" max="14343" width="10.42578125" style="246" customWidth="1"/>
    <col min="14344" max="14594" width="9.28515625" style="246"/>
    <col min="14595" max="14595" width="10.28515625" style="246" customWidth="1"/>
    <col min="14596" max="14597" width="10.7109375" style="246" customWidth="1"/>
    <col min="14598" max="14599" width="10.42578125" style="246" customWidth="1"/>
    <col min="14600" max="14850" width="9.28515625" style="246"/>
    <col min="14851" max="14851" width="10.28515625" style="246" customWidth="1"/>
    <col min="14852" max="14853" width="10.7109375" style="246" customWidth="1"/>
    <col min="14854" max="14855" width="10.42578125" style="246" customWidth="1"/>
    <col min="14856" max="15106" width="9.28515625" style="246"/>
    <col min="15107" max="15107" width="10.28515625" style="246" customWidth="1"/>
    <col min="15108" max="15109" width="10.7109375" style="246" customWidth="1"/>
    <col min="15110" max="15111" width="10.42578125" style="246" customWidth="1"/>
    <col min="15112" max="15362" width="9.28515625" style="246"/>
    <col min="15363" max="15363" width="10.28515625" style="246" customWidth="1"/>
    <col min="15364" max="15365" width="10.7109375" style="246" customWidth="1"/>
    <col min="15366" max="15367" width="10.42578125" style="246" customWidth="1"/>
    <col min="15368" max="15618" width="9.28515625" style="246"/>
    <col min="15619" max="15619" width="10.28515625" style="246" customWidth="1"/>
    <col min="15620" max="15621" width="10.7109375" style="246" customWidth="1"/>
    <col min="15622" max="15623" width="10.42578125" style="246" customWidth="1"/>
    <col min="15624" max="15874" width="9.28515625" style="246"/>
    <col min="15875" max="15875" width="10.28515625" style="246" customWidth="1"/>
    <col min="15876" max="15877" width="10.7109375" style="246" customWidth="1"/>
    <col min="15878" max="15879" width="10.42578125" style="246" customWidth="1"/>
    <col min="15880" max="16130" width="9.28515625" style="246"/>
    <col min="16131" max="16131" width="10.28515625" style="246" customWidth="1"/>
    <col min="16132" max="16133" width="10.7109375" style="246" customWidth="1"/>
    <col min="16134" max="16135" width="10.42578125" style="246" customWidth="1"/>
    <col min="16136" max="16384" width="9.28515625" style="246"/>
  </cols>
  <sheetData>
    <row r="1" spans="1:17" ht="18.75">
      <c r="B1" s="245" t="s">
        <v>681</v>
      </c>
      <c r="I1" s="247"/>
      <c r="J1" s="247"/>
      <c r="K1" s="248" t="s">
        <v>682</v>
      </c>
    </row>
    <row r="2" spans="1:17" ht="12.75" customHeight="1">
      <c r="A2" s="249"/>
      <c r="I2" s="250" t="s">
        <v>683</v>
      </c>
      <c r="J2" s="247"/>
      <c r="K2" s="250" t="s">
        <v>684</v>
      </c>
    </row>
    <row r="3" spans="1:17" ht="12.75" customHeight="1">
      <c r="A3" s="249"/>
      <c r="I3" s="247"/>
      <c r="J3" s="247"/>
      <c r="K3" s="248" t="s">
        <v>685</v>
      </c>
    </row>
    <row r="4" spans="1:17" ht="12.75" customHeight="1">
      <c r="A4" s="249"/>
      <c r="I4" s="247"/>
      <c r="J4" s="247"/>
      <c r="K4" s="250" t="s">
        <v>686</v>
      </c>
    </row>
    <row r="5" spans="1:17" ht="12.75" customHeight="1">
      <c r="A5" s="249"/>
      <c r="I5" s="247"/>
      <c r="J5" s="247"/>
      <c r="K5" s="250"/>
    </row>
    <row r="6" spans="1:17" ht="12.75" customHeight="1">
      <c r="A6" s="249"/>
      <c r="B6" s="251" t="s">
        <v>687</v>
      </c>
      <c r="C6" s="252">
        <v>6</v>
      </c>
      <c r="K6" s="250"/>
    </row>
    <row r="7" spans="1:17" ht="12.75" customHeight="1">
      <c r="A7" s="249"/>
      <c r="B7" s="246" t="s">
        <v>688</v>
      </c>
      <c r="K7" s="250"/>
    </row>
    <row r="8" spans="1:17" ht="12.75" customHeight="1">
      <c r="B8" s="246" t="s">
        <v>689</v>
      </c>
    </row>
    <row r="9" spans="1:17" ht="12.75" customHeight="1">
      <c r="B9" s="246" t="s">
        <v>690</v>
      </c>
    </row>
    <row r="10" spans="1:17" ht="12.75" customHeight="1">
      <c r="B10" s="246" t="s">
        <v>691</v>
      </c>
    </row>
    <row r="11" spans="1:17" ht="12.75" customHeight="1">
      <c r="B11" s="246" t="s">
        <v>692</v>
      </c>
      <c r="E11" s="1011"/>
      <c r="N11" s="1301" t="s">
        <v>693</v>
      </c>
      <c r="O11" s="1302"/>
      <c r="P11" s="1302"/>
      <c r="Q11" s="1303"/>
    </row>
    <row r="12" spans="1:17" ht="12.75" customHeight="1">
      <c r="B12" s="253" t="s">
        <v>694</v>
      </c>
      <c r="N12" s="254">
        <v>1E-3</v>
      </c>
      <c r="O12" s="255">
        <f>NORMINV(N12,$B$24,$B$25)</f>
        <v>140.79639495289888</v>
      </c>
      <c r="P12" s="256">
        <f>INT(MIN(O12,B34))</f>
        <v>140</v>
      </c>
      <c r="Q12" s="257">
        <f>CEILING(MAX(O24,A:A),1)</f>
        <v>159</v>
      </c>
    </row>
    <row r="13" spans="1:17" ht="12.75" customHeight="1">
      <c r="B13" s="246" t="s">
        <v>695</v>
      </c>
      <c r="N13" s="254">
        <v>0.01</v>
      </c>
      <c r="O13" s="255">
        <f t="shared" ref="O13:O24" si="0">NORMINV(N13,$B$24,$B$25)</f>
        <v>142.99873935315978</v>
      </c>
      <c r="P13" s="255">
        <f>P12</f>
        <v>140</v>
      </c>
      <c r="Q13" s="257">
        <f>ABS(ChartMax)+ABS(ChartMin)+1</f>
        <v>300</v>
      </c>
    </row>
    <row r="14" spans="1:17" ht="12.75" customHeight="1">
      <c r="B14" s="258"/>
      <c r="N14" s="254">
        <v>0.1</v>
      </c>
      <c r="O14" s="255">
        <f t="shared" si="0"/>
        <v>146.01097681036649</v>
      </c>
      <c r="P14" s="255">
        <f t="shared" ref="P14:P24" si="1">P13</f>
        <v>140</v>
      </c>
      <c r="Q14" s="257">
        <f>SUM(A:A)</f>
        <v>7485.2899999999991</v>
      </c>
    </row>
    <row r="15" spans="1:17" ht="12.75" customHeight="1">
      <c r="B15" s="246" t="s">
        <v>696</v>
      </c>
      <c r="N15" s="254">
        <v>0.2</v>
      </c>
      <c r="O15" s="255">
        <f t="shared" si="0"/>
        <v>147.27933372716475</v>
      </c>
      <c r="P15" s="255">
        <f t="shared" si="1"/>
        <v>140</v>
      </c>
      <c r="Q15" s="257">
        <f>COUNT(A:A)</f>
        <v>50</v>
      </c>
    </row>
    <row r="16" spans="1:17" ht="12.75" customHeight="1">
      <c r="B16" s="246" t="s">
        <v>697</v>
      </c>
      <c r="N16" s="254">
        <v>0.3</v>
      </c>
      <c r="O16" s="255">
        <f t="shared" si="0"/>
        <v>148.19390830004644</v>
      </c>
      <c r="P16" s="255">
        <f t="shared" si="1"/>
        <v>140</v>
      </c>
      <c r="Q16" s="257"/>
    </row>
    <row r="17" spans="1:17" ht="12.75" customHeight="1">
      <c r="B17" s="246" t="s">
        <v>698</v>
      </c>
      <c r="N17" s="254">
        <v>0.4</v>
      </c>
      <c r="O17" s="255">
        <f t="shared" si="0"/>
        <v>148.97537855082885</v>
      </c>
      <c r="P17" s="255">
        <f t="shared" si="1"/>
        <v>140</v>
      </c>
      <c r="Q17" s="257"/>
    </row>
    <row r="18" spans="1:17" ht="12.75" customHeight="1">
      <c r="N18" s="254">
        <v>0.5</v>
      </c>
      <c r="O18" s="255">
        <f t="shared" si="0"/>
        <v>149.70579999999998</v>
      </c>
      <c r="P18" s="255">
        <f t="shared" si="1"/>
        <v>140</v>
      </c>
      <c r="Q18" s="257"/>
    </row>
    <row r="19" spans="1:17" ht="12.75" customHeight="1">
      <c r="B19" s="246" t="s">
        <v>699</v>
      </c>
      <c r="N19" s="254">
        <v>0.6</v>
      </c>
      <c r="O19" s="255">
        <f t="shared" si="0"/>
        <v>150.43622144917111</v>
      </c>
      <c r="P19" s="255">
        <f t="shared" si="1"/>
        <v>140</v>
      </c>
      <c r="Q19" s="257"/>
    </row>
    <row r="20" spans="1:17" ht="12.75" customHeight="1">
      <c r="B20" s="259" t="s">
        <v>700</v>
      </c>
      <c r="C20" s="246" t="s">
        <v>701</v>
      </c>
      <c r="N20" s="254">
        <v>0.7</v>
      </c>
      <c r="O20" s="255">
        <f t="shared" si="0"/>
        <v>151.21769169995352</v>
      </c>
      <c r="P20" s="255">
        <f t="shared" si="1"/>
        <v>140</v>
      </c>
      <c r="Q20" s="257"/>
    </row>
    <row r="21" spans="1:17" ht="12.75" customHeight="1">
      <c r="B21" s="259" t="s">
        <v>702</v>
      </c>
      <c r="C21" s="246" t="s">
        <v>703</v>
      </c>
      <c r="N21" s="254">
        <v>0.8</v>
      </c>
      <c r="O21" s="255">
        <f t="shared" si="0"/>
        <v>152.13226627283521</v>
      </c>
      <c r="P21" s="255">
        <f t="shared" si="1"/>
        <v>140</v>
      </c>
      <c r="Q21" s="257"/>
    </row>
    <row r="22" spans="1:17" ht="12.75" customHeight="1">
      <c r="F22" s="259" t="s">
        <v>704</v>
      </c>
      <c r="G22" s="255" t="str">
        <f>IF(ISBLANK($A$534),"Seems OK...","Too Many Data Points! Fix columns B-H!!!!")</f>
        <v>Seems OK...</v>
      </c>
      <c r="N22" s="254">
        <v>0.9</v>
      </c>
      <c r="O22" s="255">
        <f t="shared" si="0"/>
        <v>153.40062318963348</v>
      </c>
      <c r="P22" s="255">
        <f t="shared" si="1"/>
        <v>140</v>
      </c>
      <c r="Q22" s="257"/>
    </row>
    <row r="23" spans="1:17" ht="12.75" customHeight="1">
      <c r="B23" s="255">
        <f>COUNT(A34:A534)</f>
        <v>50</v>
      </c>
      <c r="C23" s="246" t="s">
        <v>705</v>
      </c>
      <c r="F23" s="259" t="s">
        <v>706</v>
      </c>
      <c r="G23" s="260">
        <f>SUM(G34:G533)</f>
        <v>-2540.9973796433223</v>
      </c>
      <c r="N23" s="254">
        <v>0.99</v>
      </c>
      <c r="O23" s="255">
        <f t="shared" si="0"/>
        <v>156.41286064684019</v>
      </c>
      <c r="P23" s="255">
        <f t="shared" si="1"/>
        <v>140</v>
      </c>
      <c r="Q23" s="257"/>
    </row>
    <row r="24" spans="1:17" ht="12.75" customHeight="1">
      <c r="B24" s="261">
        <f>AVERAGE(A34:A534)</f>
        <v>149.70579999999998</v>
      </c>
      <c r="C24" s="246" t="s">
        <v>707</v>
      </c>
      <c r="G24" s="258"/>
      <c r="N24" s="262">
        <v>0.999</v>
      </c>
      <c r="O24" s="263">
        <f t="shared" si="0"/>
        <v>158.61520504710109</v>
      </c>
      <c r="P24" s="263">
        <f t="shared" si="1"/>
        <v>140</v>
      </c>
      <c r="Q24" s="264"/>
    </row>
    <row r="25" spans="1:17" ht="12.75" customHeight="1">
      <c r="B25" s="261">
        <f>STDEV(A34:A534)</f>
        <v>2.8830858538753787</v>
      </c>
      <c r="C25" s="246" t="s">
        <v>708</v>
      </c>
      <c r="F25" s="1304" t="s">
        <v>709</v>
      </c>
      <c r="G25" s="1304"/>
    </row>
    <row r="26" spans="1:17" ht="12.75" customHeight="1">
      <c r="B26" s="255"/>
      <c r="F26" s="259" t="s">
        <v>710</v>
      </c>
      <c r="G26" s="255">
        <f>IF(AND(B28&lt;13, B28&gt;=0.6),EXP(1.2937-5.709*B28+0.0186*B28^ 2),0)</f>
        <v>3.1780444557565429E-2</v>
      </c>
    </row>
    <row r="27" spans="1:17" ht="12.75" customHeight="1">
      <c r="B27" s="265">
        <f>-G23/B23-B23</f>
        <v>0.81994759286644836</v>
      </c>
      <c r="C27" s="246" t="s">
        <v>711</v>
      </c>
      <c r="F27" s="259" t="s">
        <v>712</v>
      </c>
      <c r="G27" s="255">
        <f>IF(AND(B28&lt;0.6,B28&gt;=0.34),EXP(0.9177-4.279*B28-1.38*B28^2),0)</f>
        <v>0</v>
      </c>
    </row>
    <row r="28" spans="1:17" ht="12.75" customHeight="1" thickBot="1">
      <c r="B28" s="255">
        <f>B27*(1+0.75/B23+2.25/B23^2)</f>
        <v>0.83298475959302476</v>
      </c>
      <c r="C28" s="246" t="s">
        <v>713</v>
      </c>
      <c r="F28" s="259" t="s">
        <v>714</v>
      </c>
      <c r="G28" s="255">
        <f>IF(AND(B28&lt;0.34,B28&gt;=0.2),1-EXP(-8.318+42.796*B28-59.938*B28^2),0)</f>
        <v>0</v>
      </c>
    </row>
    <row r="29" spans="1:17" ht="12.75" customHeight="1" thickTop="1" thickBot="1">
      <c r="B29" s="266">
        <f>IF(MAX(G26:G29)&lt;0.0005,"&lt;0.0005",MAX(G26:G29))</f>
        <v>3.1780444557565429E-2</v>
      </c>
      <c r="C29" s="267" t="s">
        <v>715</v>
      </c>
      <c r="F29" s="259" t="s">
        <v>716</v>
      </c>
      <c r="G29" s="255">
        <f>IF(B28&lt;0.2,1-EXP(-13.436+101.14*B28-223.73*B28^2),0)</f>
        <v>0</v>
      </c>
    </row>
    <row r="30" spans="1:17" ht="12.75" customHeight="1" thickTop="1">
      <c r="C30" s="258"/>
      <c r="G30" s="258"/>
      <c r="K30" s="268"/>
    </row>
    <row r="31" spans="1:17" ht="12.75" customHeight="1">
      <c r="A31" s="269" t="s">
        <v>717</v>
      </c>
    </row>
    <row r="32" spans="1:17" s="270" customFormat="1" ht="12.75" customHeight="1">
      <c r="A32" s="269" t="s">
        <v>718</v>
      </c>
    </row>
    <row r="33" spans="1:15" ht="12.75" customHeight="1">
      <c r="A33" s="269" t="s">
        <v>719</v>
      </c>
      <c r="B33" s="246" t="s">
        <v>720</v>
      </c>
      <c r="C33" s="246" t="s">
        <v>721</v>
      </c>
      <c r="D33" s="246" t="s">
        <v>722</v>
      </c>
      <c r="E33" s="246" t="s">
        <v>723</v>
      </c>
      <c r="F33" s="246" t="s">
        <v>724</v>
      </c>
      <c r="G33" s="246" t="s">
        <v>725</v>
      </c>
      <c r="H33" s="246" t="s">
        <v>726</v>
      </c>
      <c r="I33" s="246" t="s">
        <v>726</v>
      </c>
    </row>
    <row r="34" spans="1:15" ht="12.75" customHeight="1">
      <c r="A34" s="1377">
        <v>146.99</v>
      </c>
      <c r="B34" s="255">
        <f>IF(ISBLANK(A34),NA(),SMALL(A$34:A$533,C34))</f>
        <v>145.12</v>
      </c>
      <c r="C34" s="271">
        <f>IF(ISBLANK(A34),"",1)</f>
        <v>1</v>
      </c>
      <c r="D34" s="271">
        <f t="shared" ref="D34:D97" si="2">IF(ISBLANK(A34),"",NORMSDIST((B34-$B$24)/$B$25))</f>
        <v>5.5851232239309906E-2</v>
      </c>
      <c r="E34" s="271">
        <f t="shared" ref="E34:E97" si="3">IF(ISBLANK(A34),"",1-D34)</f>
        <v>0.94414876776069012</v>
      </c>
      <c r="F34" s="271">
        <f>IF(ISBLANK(A34),"",SMALL($E$34:$E$533,C34))</f>
        <v>3.4674502442524346E-3</v>
      </c>
      <c r="G34" s="271">
        <f t="shared" ref="G34" si="4">IF(ISBLANK(A34),"",(2*C34-1)*(LN(F34)+LN(D34)))</f>
        <v>-8.5493994453870208</v>
      </c>
      <c r="H34" s="271">
        <f t="shared" ref="H34:H97" si="5">IF(A34="",NA(),NORMINV((C34-3/8)/($B$23+1/4),$B$24,$B$25))</f>
        <v>143.23809057766951</v>
      </c>
      <c r="I34" s="272">
        <f>IF(B34="",NA(),(C34-3/8)/($B$23+1/4))</f>
        <v>1.2437810945273632E-2</v>
      </c>
    </row>
    <row r="35" spans="1:15" ht="12.75" customHeight="1">
      <c r="A35" s="1377">
        <v>148.65</v>
      </c>
      <c r="B35" s="255">
        <f t="shared" ref="B35:B98" si="6">IF(ISBLANK(A35),NA(),SMALL(A$34:A$533,C35))</f>
        <v>145.6</v>
      </c>
      <c r="C35" s="255">
        <f t="shared" ref="C35:C98" si="7">IF(ISBLANK(A35),"",C34+1)</f>
        <v>2</v>
      </c>
      <c r="D35" s="255">
        <f t="shared" si="2"/>
        <v>7.720889194057047E-2</v>
      </c>
      <c r="E35" s="255">
        <f t="shared" si="3"/>
        <v>0.92279110805942954</v>
      </c>
      <c r="F35" s="255">
        <f t="shared" ref="F35:F98" si="8">IF(ISBLANK(A35),"",SMALL($E$34:$E$533,C35))</f>
        <v>6.2923132902205081E-3</v>
      </c>
      <c r="G35" s="255">
        <f t="shared" ref="G35:G98" si="9">IF(ISBLANK(A35),"",(2*C35-1)*(LN(F35)+LN(D35)))</f>
        <v>-22.889001453595093</v>
      </c>
      <c r="H35" s="255">
        <f t="shared" si="5"/>
        <v>144.37933689079586</v>
      </c>
      <c r="I35" s="257">
        <f t="shared" ref="I35:I98" si="10">IF(B35="",NA(),(C35-3/8)/($B$23+1/4))</f>
        <v>3.2338308457711441E-2</v>
      </c>
    </row>
    <row r="36" spans="1:15" ht="12.75" customHeight="1">
      <c r="A36" s="1377">
        <v>150.22999999999999</v>
      </c>
      <c r="B36" s="255">
        <f t="shared" si="6"/>
        <v>145.75</v>
      </c>
      <c r="C36" s="255">
        <f t="shared" si="7"/>
        <v>3</v>
      </c>
      <c r="D36" s="255">
        <f t="shared" si="2"/>
        <v>8.5020586649743296E-2</v>
      </c>
      <c r="E36" s="255">
        <f t="shared" si="3"/>
        <v>0.91497941335025668</v>
      </c>
      <c r="F36" s="255">
        <f t="shared" si="8"/>
        <v>1.8331492045955633E-2</v>
      </c>
      <c r="G36" s="255">
        <f t="shared" si="9"/>
        <v>-32.319983386278672</v>
      </c>
      <c r="H36" s="255">
        <f t="shared" si="5"/>
        <v>145.02504328154461</v>
      </c>
      <c r="I36" s="257">
        <f t="shared" si="10"/>
        <v>5.2238805970149252E-2</v>
      </c>
    </row>
    <row r="37" spans="1:15" ht="12.75" customHeight="1">
      <c r="A37" s="1377">
        <v>155.72999999999999</v>
      </c>
      <c r="B37" s="255">
        <f t="shared" si="6"/>
        <v>146.24</v>
      </c>
      <c r="C37" s="255">
        <f t="shared" si="7"/>
        <v>4</v>
      </c>
      <c r="D37" s="255">
        <f t="shared" si="2"/>
        <v>0.1146595382328799</v>
      </c>
      <c r="E37" s="255">
        <f t="shared" si="3"/>
        <v>0.88534046176712011</v>
      </c>
      <c r="F37" s="255">
        <f t="shared" si="8"/>
        <v>4.1307591284099554E-2</v>
      </c>
      <c r="G37" s="255">
        <f t="shared" si="9"/>
        <v>-37.467479464499803</v>
      </c>
      <c r="H37" s="255">
        <f t="shared" si="5"/>
        <v>145.49637435757401</v>
      </c>
      <c r="I37" s="257">
        <f t="shared" si="10"/>
        <v>7.2139303482587069E-2</v>
      </c>
    </row>
    <row r="38" spans="1:15" ht="12.75" customHeight="1">
      <c r="A38" s="1377">
        <v>150.66999999999999</v>
      </c>
      <c r="B38" s="255">
        <f t="shared" si="6"/>
        <v>146.44999999999999</v>
      </c>
      <c r="C38" s="255">
        <f t="shared" si="7"/>
        <v>5</v>
      </c>
      <c r="D38" s="255">
        <f t="shared" si="2"/>
        <v>0.1293906861660995</v>
      </c>
      <c r="E38" s="255">
        <f t="shared" si="3"/>
        <v>0.8706093138339005</v>
      </c>
      <c r="F38" s="255">
        <f t="shared" si="8"/>
        <v>7.7289236563837238E-2</v>
      </c>
      <c r="G38" s="255">
        <f t="shared" si="9"/>
        <v>-41.446075068451712</v>
      </c>
      <c r="H38" s="255">
        <f t="shared" si="5"/>
        <v>145.87620214364048</v>
      </c>
      <c r="I38" s="257">
        <f t="shared" si="10"/>
        <v>9.2039800995024873E-2</v>
      </c>
    </row>
    <row r="39" spans="1:15" ht="12.75" customHeight="1">
      <c r="A39" s="1377">
        <v>150.27000000000001</v>
      </c>
      <c r="B39" s="255">
        <f t="shared" si="6"/>
        <v>146.99</v>
      </c>
      <c r="C39" s="255">
        <f t="shared" si="7"/>
        <v>6</v>
      </c>
      <c r="D39" s="255">
        <f t="shared" si="2"/>
        <v>0.17310225779086721</v>
      </c>
      <c r="E39" s="255">
        <f t="shared" si="3"/>
        <v>0.82689774220913281</v>
      </c>
      <c r="F39" s="255">
        <f t="shared" si="8"/>
        <v>8.2966534034380812E-2</v>
      </c>
      <c r="G39" s="255">
        <f t="shared" si="9"/>
        <v>-46.675098035605409</v>
      </c>
      <c r="H39" s="255">
        <f t="shared" si="5"/>
        <v>146.1991778977783</v>
      </c>
      <c r="I39" s="257">
        <f t="shared" si="10"/>
        <v>0.11194029850746269</v>
      </c>
    </row>
    <row r="40" spans="1:15" ht="12.75" customHeight="1">
      <c r="A40" s="1377">
        <v>149.29</v>
      </c>
      <c r="B40" s="255">
        <f t="shared" si="6"/>
        <v>146.99</v>
      </c>
      <c r="C40" s="255">
        <f t="shared" si="7"/>
        <v>7</v>
      </c>
      <c r="D40" s="255">
        <f t="shared" si="2"/>
        <v>0.17310225779086721</v>
      </c>
      <c r="E40" s="255">
        <f t="shared" si="3"/>
        <v>0.82689774220913281</v>
      </c>
      <c r="F40" s="255">
        <f t="shared" si="8"/>
        <v>9.9430406508337565E-2</v>
      </c>
      <c r="G40" s="255">
        <f t="shared" si="9"/>
        <v>-52.80821110788041</v>
      </c>
      <c r="H40" s="255">
        <f t="shared" si="5"/>
        <v>146.4832834961442</v>
      </c>
      <c r="I40" s="257">
        <f t="shared" si="10"/>
        <v>0.13184079601990051</v>
      </c>
    </row>
    <row r="41" spans="1:15" ht="12.75" customHeight="1">
      <c r="A41" s="1377">
        <v>147.13</v>
      </c>
      <c r="B41" s="255">
        <f t="shared" si="6"/>
        <v>147.01</v>
      </c>
      <c r="C41" s="255">
        <f t="shared" si="7"/>
        <v>8</v>
      </c>
      <c r="D41" s="255">
        <f t="shared" si="2"/>
        <v>0.17488389619073855</v>
      </c>
      <c r="E41" s="255">
        <f t="shared" si="3"/>
        <v>0.82511610380926148</v>
      </c>
      <c r="F41" s="255">
        <f t="shared" si="8"/>
        <v>0.14790127856879021</v>
      </c>
      <c r="G41" s="255">
        <f t="shared" si="9"/>
        <v>-54.822648600917546</v>
      </c>
      <c r="H41" s="255">
        <f t="shared" si="5"/>
        <v>146.73912252377917</v>
      </c>
      <c r="I41" s="257">
        <f t="shared" si="10"/>
        <v>0.15174129353233831</v>
      </c>
    </row>
    <row r="42" spans="1:15" ht="12.75" customHeight="1">
      <c r="A42" s="1377">
        <v>145.12</v>
      </c>
      <c r="B42" s="255">
        <f t="shared" si="6"/>
        <v>147.05000000000001</v>
      </c>
      <c r="C42" s="255">
        <f t="shared" si="7"/>
        <v>9</v>
      </c>
      <c r="D42" s="255">
        <f t="shared" si="2"/>
        <v>0.17848194328721675</v>
      </c>
      <c r="E42" s="255">
        <f t="shared" si="3"/>
        <v>0.82151805671278322</v>
      </c>
      <c r="F42" s="255">
        <f t="shared" si="8"/>
        <v>0.20119324734189203</v>
      </c>
      <c r="G42" s="255">
        <f t="shared" si="9"/>
        <v>-56.554873150938704</v>
      </c>
      <c r="H42" s="255">
        <f t="shared" si="5"/>
        <v>146.97350735584513</v>
      </c>
      <c r="I42" s="257">
        <f t="shared" si="10"/>
        <v>0.17164179104477612</v>
      </c>
    </row>
    <row r="43" spans="1:15" ht="12.75" customHeight="1">
      <c r="A43" s="1377">
        <v>147.82</v>
      </c>
      <c r="B43" s="255">
        <f t="shared" si="6"/>
        <v>147.13</v>
      </c>
      <c r="C43" s="255">
        <f t="shared" si="7"/>
        <v>10</v>
      </c>
      <c r="D43" s="255">
        <f t="shared" si="2"/>
        <v>0.1858167574388247</v>
      </c>
      <c r="E43" s="255">
        <f t="shared" si="3"/>
        <v>0.81418324256117525</v>
      </c>
      <c r="F43" s="255">
        <f t="shared" si="8"/>
        <v>0.21612739344657683</v>
      </c>
      <c r="G43" s="255">
        <f t="shared" si="9"/>
        <v>-61.082749005599858</v>
      </c>
      <c r="H43" s="255">
        <f t="shared" si="5"/>
        <v>147.19109480372947</v>
      </c>
      <c r="I43" s="257">
        <f t="shared" si="10"/>
        <v>0.19154228855721392</v>
      </c>
    </row>
    <row r="44" spans="1:15" ht="12.75" customHeight="1">
      <c r="A44" s="1377">
        <v>151.41999999999999</v>
      </c>
      <c r="B44" s="255">
        <f t="shared" si="6"/>
        <v>147.13</v>
      </c>
      <c r="C44" s="255">
        <f t="shared" si="7"/>
        <v>11</v>
      </c>
      <c r="D44" s="255">
        <f t="shared" si="2"/>
        <v>0.1858167574388247</v>
      </c>
      <c r="E44" s="255">
        <f t="shared" si="3"/>
        <v>0.81418324256117525</v>
      </c>
      <c r="F44" s="255">
        <f t="shared" si="8"/>
        <v>0.27606504663984976</v>
      </c>
      <c r="G44" s="255">
        <f t="shared" si="9"/>
        <v>-62.372373645411024</v>
      </c>
      <c r="H44" s="255">
        <f t="shared" si="5"/>
        <v>147.39522254688626</v>
      </c>
      <c r="I44" s="257">
        <f t="shared" si="10"/>
        <v>0.21144278606965175</v>
      </c>
      <c r="O44" s="246" t="s">
        <v>593</v>
      </c>
    </row>
    <row r="45" spans="1:15" ht="12.75" customHeight="1">
      <c r="A45" s="1377">
        <v>150.63999999999999</v>
      </c>
      <c r="B45" s="255">
        <f t="shared" si="6"/>
        <v>147.49</v>
      </c>
      <c r="C45" s="255">
        <f t="shared" si="7"/>
        <v>12</v>
      </c>
      <c r="D45" s="255">
        <f t="shared" si="2"/>
        <v>0.22107979900568739</v>
      </c>
      <c r="E45" s="255">
        <f t="shared" si="3"/>
        <v>0.77892020099431258</v>
      </c>
      <c r="F45" s="255">
        <f t="shared" si="8"/>
        <v>0.31434231286314174</v>
      </c>
      <c r="G45" s="255">
        <f t="shared" si="9"/>
        <v>-61.329598432797269</v>
      </c>
      <c r="H45" s="255">
        <f t="shared" si="5"/>
        <v>147.58837458829208</v>
      </c>
      <c r="I45" s="257">
        <f t="shared" si="10"/>
        <v>0.23134328358208955</v>
      </c>
    </row>
    <row r="46" spans="1:15" ht="12.75" customHeight="1">
      <c r="A46" s="1377">
        <v>146.24</v>
      </c>
      <c r="B46" s="255">
        <f t="shared" si="6"/>
        <v>147.55000000000001</v>
      </c>
      <c r="C46" s="255">
        <f t="shared" si="7"/>
        <v>13</v>
      </c>
      <c r="D46" s="255">
        <f t="shared" si="2"/>
        <v>0.22730835473926639</v>
      </c>
      <c r="E46" s="255">
        <f t="shared" si="3"/>
        <v>0.77269164526073364</v>
      </c>
      <c r="F46" s="255">
        <f t="shared" si="8"/>
        <v>0.31680851141915922</v>
      </c>
      <c r="G46" s="255">
        <f t="shared" si="9"/>
        <v>-65.772638622662711</v>
      </c>
      <c r="H46" s="255">
        <f t="shared" si="5"/>
        <v>147.77245773283735</v>
      </c>
      <c r="I46" s="257">
        <f t="shared" si="10"/>
        <v>0.25124378109452739</v>
      </c>
    </row>
    <row r="47" spans="1:15" ht="12.75" customHeight="1">
      <c r="A47" s="1377">
        <v>151.08000000000001</v>
      </c>
      <c r="B47" s="255">
        <f t="shared" si="6"/>
        <v>147.69999999999999</v>
      </c>
      <c r="C47" s="255">
        <f t="shared" si="7"/>
        <v>14</v>
      </c>
      <c r="D47" s="255">
        <f t="shared" si="2"/>
        <v>0.24330432481726122</v>
      </c>
      <c r="E47" s="255">
        <f t="shared" si="3"/>
        <v>0.75669567518273873</v>
      </c>
      <c r="F47" s="255">
        <f t="shared" si="8"/>
        <v>0.32300953983259217</v>
      </c>
      <c r="G47" s="255">
        <f t="shared" si="9"/>
        <v>-68.674923219713676</v>
      </c>
      <c r="H47" s="255">
        <f t="shared" si="5"/>
        <v>147.94897460339811</v>
      </c>
      <c r="I47" s="257">
        <f t="shared" si="10"/>
        <v>0.27114427860696516</v>
      </c>
    </row>
    <row r="48" spans="1:15" ht="12.75" customHeight="1">
      <c r="A48" s="1377">
        <v>148.78</v>
      </c>
      <c r="B48" s="255">
        <f t="shared" si="6"/>
        <v>147.82</v>
      </c>
      <c r="C48" s="255">
        <f t="shared" si="7"/>
        <v>15</v>
      </c>
      <c r="D48" s="255">
        <f t="shared" si="2"/>
        <v>0.25652664664081437</v>
      </c>
      <c r="E48" s="255">
        <f t="shared" si="3"/>
        <v>0.74347335335918563</v>
      </c>
      <c r="F48" s="255">
        <f t="shared" si="8"/>
        <v>0.34445491855075572</v>
      </c>
      <c r="G48" s="255">
        <f t="shared" si="9"/>
        <v>-70.363128963345972</v>
      </c>
      <c r="H48" s="255">
        <f t="shared" si="5"/>
        <v>148.11913665178375</v>
      </c>
      <c r="I48" s="257">
        <f t="shared" si="10"/>
        <v>0.29104477611940299</v>
      </c>
    </row>
    <row r="49" spans="1:9" ht="12.75" customHeight="1">
      <c r="A49" s="1377">
        <v>149.85</v>
      </c>
      <c r="B49" s="255">
        <f t="shared" si="6"/>
        <v>147.82</v>
      </c>
      <c r="C49" s="255">
        <f t="shared" si="7"/>
        <v>16</v>
      </c>
      <c r="D49" s="255">
        <f t="shared" si="2"/>
        <v>0.25652664664081437</v>
      </c>
      <c r="E49" s="255">
        <f t="shared" si="3"/>
        <v>0.74347335335918563</v>
      </c>
      <c r="F49" s="255">
        <f t="shared" si="8"/>
        <v>0.36902629643352169</v>
      </c>
      <c r="G49" s="255">
        <f t="shared" si="9"/>
        <v>-73.079713337493843</v>
      </c>
      <c r="H49" s="255">
        <f t="shared" si="5"/>
        <v>148.28394068945366</v>
      </c>
      <c r="I49" s="257">
        <f t="shared" si="10"/>
        <v>0.31094527363184077</v>
      </c>
    </row>
    <row r="50" spans="1:9" ht="12.75" customHeight="1">
      <c r="A50" s="1377">
        <v>153.81</v>
      </c>
      <c r="B50" s="255">
        <f t="shared" si="6"/>
        <v>147.94</v>
      </c>
      <c r="C50" s="255">
        <f t="shared" si="7"/>
        <v>17</v>
      </c>
      <c r="D50" s="255">
        <f t="shared" si="2"/>
        <v>0.27011383249992582</v>
      </c>
      <c r="E50" s="255">
        <f t="shared" si="3"/>
        <v>0.72988616750007418</v>
      </c>
      <c r="F50" s="255">
        <f t="shared" si="8"/>
        <v>0.37295848927119635</v>
      </c>
      <c r="G50" s="255">
        <f t="shared" si="9"/>
        <v>-75.741598723884167</v>
      </c>
      <c r="H50" s="255">
        <f t="shared" si="5"/>
        <v>148.44422235537172</v>
      </c>
      <c r="I50" s="257">
        <f t="shared" si="10"/>
        <v>0.3308457711442786</v>
      </c>
    </row>
    <row r="51" spans="1:9" ht="12.75" customHeight="1">
      <c r="A51" s="1377">
        <v>153.69999999999999</v>
      </c>
      <c r="B51" s="255">
        <f t="shared" si="6"/>
        <v>148.13</v>
      </c>
      <c r="C51" s="255">
        <f t="shared" si="7"/>
        <v>18</v>
      </c>
      <c r="D51" s="255">
        <f t="shared" si="2"/>
        <v>0.2923380735602662</v>
      </c>
      <c r="E51" s="255">
        <f t="shared" si="3"/>
        <v>0.7076619264397338</v>
      </c>
      <c r="F51" s="255">
        <f t="shared" si="8"/>
        <v>0.4035177590448793</v>
      </c>
      <c r="G51" s="255">
        <f t="shared" si="9"/>
        <v>-74.808269900137986</v>
      </c>
      <c r="H51" s="255">
        <f t="shared" si="5"/>
        <v>148.60069451817614</v>
      </c>
      <c r="I51" s="257">
        <f t="shared" si="10"/>
        <v>0.35074626865671643</v>
      </c>
    </row>
    <row r="52" spans="1:9" ht="12.75" customHeight="1">
      <c r="A52" s="1377">
        <v>148.41</v>
      </c>
      <c r="B52" s="255">
        <f t="shared" si="6"/>
        <v>148.18</v>
      </c>
      <c r="C52" s="255">
        <f t="shared" si="7"/>
        <v>19</v>
      </c>
      <c r="D52" s="255">
        <f t="shared" si="2"/>
        <v>0.2983248216828277</v>
      </c>
      <c r="E52" s="255">
        <f t="shared" si="3"/>
        <v>0.7016751783171723</v>
      </c>
      <c r="F52" s="255">
        <f t="shared" si="8"/>
        <v>0.42242519382624699</v>
      </c>
      <c r="G52" s="255">
        <f t="shared" si="9"/>
        <v>-76.638665520883933</v>
      </c>
      <c r="H52" s="255">
        <f t="shared" si="5"/>
        <v>148.75397556343364</v>
      </c>
      <c r="I52" s="257">
        <f t="shared" si="10"/>
        <v>0.37064676616915421</v>
      </c>
    </row>
    <row r="53" spans="1:9" ht="12.75" customHeight="1">
      <c r="A53" s="1377">
        <v>149.87</v>
      </c>
      <c r="B53" s="255">
        <f t="shared" si="6"/>
        <v>148.41</v>
      </c>
      <c r="C53" s="255">
        <f t="shared" si="7"/>
        <v>20</v>
      </c>
      <c r="D53" s="255">
        <f t="shared" si="2"/>
        <v>0.32655390201051632</v>
      </c>
      <c r="E53" s="255">
        <f t="shared" si="3"/>
        <v>0.67344609798948363</v>
      </c>
      <c r="F53" s="255">
        <f t="shared" si="8"/>
        <v>0.42786235759492763</v>
      </c>
      <c r="G53" s="255">
        <f t="shared" si="9"/>
        <v>-76.756445338342544</v>
      </c>
      <c r="H53" s="255">
        <f t="shared" si="5"/>
        <v>148.90461073481151</v>
      </c>
      <c r="I53" s="257">
        <f t="shared" si="10"/>
        <v>0.39054726368159204</v>
      </c>
    </row>
    <row r="54" spans="1:9" ht="12.75" customHeight="1">
      <c r="A54" s="1377">
        <v>150.02000000000001</v>
      </c>
      <c r="B54" s="255">
        <f t="shared" si="6"/>
        <v>148.43</v>
      </c>
      <c r="C54" s="255">
        <f t="shared" si="7"/>
        <v>21</v>
      </c>
      <c r="D54" s="255">
        <f t="shared" si="2"/>
        <v>0.3290593852959478</v>
      </c>
      <c r="E54" s="255">
        <f t="shared" si="3"/>
        <v>0.6709406147040522</v>
      </c>
      <c r="F54" s="255">
        <f t="shared" si="8"/>
        <v>0.45660899744268346</v>
      </c>
      <c r="G54" s="255">
        <f t="shared" si="9"/>
        <v>-77.713240156290368</v>
      </c>
      <c r="H54" s="255">
        <f t="shared" si="5"/>
        <v>149.05308861964357</v>
      </c>
      <c r="I54" s="257">
        <f t="shared" si="10"/>
        <v>0.41044776119402987</v>
      </c>
    </row>
    <row r="55" spans="1:9" ht="12.75" customHeight="1">
      <c r="A55" s="1377">
        <v>152.12</v>
      </c>
      <c r="B55" s="255">
        <f t="shared" si="6"/>
        <v>148.61000000000001</v>
      </c>
      <c r="C55" s="255">
        <f t="shared" si="7"/>
        <v>22</v>
      </c>
      <c r="D55" s="255">
        <f t="shared" si="2"/>
        <v>0.35194343684000551</v>
      </c>
      <c r="E55" s="255">
        <f t="shared" si="3"/>
        <v>0.64805656315999449</v>
      </c>
      <c r="F55" s="255">
        <f t="shared" si="8"/>
        <v>0.47176776585794977</v>
      </c>
      <c r="G55" s="255">
        <f t="shared" si="9"/>
        <v>-77.208789451489466</v>
      </c>
      <c r="H55" s="255">
        <f t="shared" si="5"/>
        <v>149.19985419777913</v>
      </c>
      <c r="I55" s="257">
        <f t="shared" si="10"/>
        <v>0.43034825870646765</v>
      </c>
    </row>
    <row r="56" spans="1:9" ht="12.75" customHeight="1">
      <c r="A56" s="1377">
        <v>153.41</v>
      </c>
      <c r="B56" s="255">
        <f t="shared" si="6"/>
        <v>148.65</v>
      </c>
      <c r="C56" s="255">
        <f t="shared" si="7"/>
        <v>23</v>
      </c>
      <c r="D56" s="255">
        <f t="shared" si="2"/>
        <v>0.35710611463918834</v>
      </c>
      <c r="E56" s="255">
        <f t="shared" si="3"/>
        <v>0.64289388536081171</v>
      </c>
      <c r="F56" s="255">
        <f t="shared" si="8"/>
        <v>0.47729137113820608</v>
      </c>
      <c r="G56" s="255">
        <f t="shared" si="9"/>
        <v>-79.620769579699626</v>
      </c>
      <c r="H56" s="255">
        <f t="shared" si="5"/>
        <v>149.34531944447338</v>
      </c>
      <c r="I56" s="257">
        <f t="shared" si="10"/>
        <v>0.45024875621890548</v>
      </c>
    </row>
    <row r="57" spans="1:9" ht="12.75" customHeight="1">
      <c r="A57" s="1377">
        <v>151.1</v>
      </c>
      <c r="B57" s="255">
        <f t="shared" si="6"/>
        <v>148.78</v>
      </c>
      <c r="C57" s="255">
        <f t="shared" si="7"/>
        <v>24</v>
      </c>
      <c r="D57" s="255">
        <f t="shared" si="2"/>
        <v>0.37406189953138963</v>
      </c>
      <c r="E57" s="255">
        <f t="shared" si="3"/>
        <v>0.62593810046861043</v>
      </c>
      <c r="F57" s="255">
        <f t="shared" si="8"/>
        <v>0.48005487739143526</v>
      </c>
      <c r="G57" s="255">
        <f t="shared" si="9"/>
        <v>-80.707875583880863</v>
      </c>
      <c r="H57" s="255">
        <f t="shared" si="5"/>
        <v>149.48987220048488</v>
      </c>
      <c r="I57" s="257">
        <f t="shared" si="10"/>
        <v>0.47014925373134331</v>
      </c>
    </row>
    <row r="58" spans="1:9" ht="12.75" customHeight="1">
      <c r="A58" s="1377">
        <v>147.69999999999999</v>
      </c>
      <c r="B58" s="255">
        <f t="shared" si="6"/>
        <v>149.11000000000001</v>
      </c>
      <c r="C58" s="255">
        <f t="shared" si="7"/>
        <v>25</v>
      </c>
      <c r="D58" s="255">
        <f t="shared" si="2"/>
        <v>0.41814020805568936</v>
      </c>
      <c r="E58" s="255">
        <f t="shared" si="3"/>
        <v>0.5818597919443107</v>
      </c>
      <c r="F58" s="255">
        <f t="shared" si="8"/>
        <v>0.55733681182455075</v>
      </c>
      <c r="G58" s="255">
        <f t="shared" si="9"/>
        <v>-71.369676462688872</v>
      </c>
      <c r="H58" s="255">
        <f t="shared" si="5"/>
        <v>149.63388384116953</v>
      </c>
      <c r="I58" s="257">
        <f t="shared" si="10"/>
        <v>0.49004975124378108</v>
      </c>
    </row>
    <row r="59" spans="1:9" ht="12.75" customHeight="1">
      <c r="A59" s="1377">
        <v>149.11000000000001</v>
      </c>
      <c r="B59" s="255">
        <f t="shared" si="6"/>
        <v>149.29</v>
      </c>
      <c r="C59" s="255">
        <f t="shared" si="7"/>
        <v>26</v>
      </c>
      <c r="D59" s="255">
        <f t="shared" si="2"/>
        <v>0.44266318817544925</v>
      </c>
      <c r="E59" s="255">
        <f t="shared" si="3"/>
        <v>0.55733681182455075</v>
      </c>
      <c r="F59" s="255">
        <f t="shared" si="8"/>
        <v>0.5818597919443107</v>
      </c>
      <c r="G59" s="255">
        <f t="shared" si="9"/>
        <v>-69.18006502665979</v>
      </c>
      <c r="H59" s="255">
        <f t="shared" si="5"/>
        <v>149.77771615883043</v>
      </c>
      <c r="I59" s="257">
        <f t="shared" si="10"/>
        <v>0.50995024875621886</v>
      </c>
    </row>
    <row r="60" spans="1:9" ht="12.75" customHeight="1">
      <c r="A60" s="1377">
        <v>151.03</v>
      </c>
      <c r="B60" s="255">
        <f t="shared" si="6"/>
        <v>149.85</v>
      </c>
      <c r="C60" s="255">
        <f t="shared" si="7"/>
        <v>27</v>
      </c>
      <c r="D60" s="255">
        <f t="shared" si="2"/>
        <v>0.51994512260856474</v>
      </c>
      <c r="E60" s="255">
        <f t="shared" si="3"/>
        <v>0.48005487739143526</v>
      </c>
      <c r="F60" s="255">
        <f t="shared" si="8"/>
        <v>0.62593810046861043</v>
      </c>
      <c r="G60" s="255">
        <f t="shared" si="9"/>
        <v>-59.494397412318634</v>
      </c>
      <c r="H60" s="255">
        <f t="shared" si="5"/>
        <v>149.92172779951508</v>
      </c>
      <c r="I60" s="257">
        <f t="shared" si="10"/>
        <v>0.52985074626865669</v>
      </c>
    </row>
    <row r="61" spans="1:9" ht="12.75" customHeight="1">
      <c r="A61" s="1377">
        <v>146.44999999999999</v>
      </c>
      <c r="B61" s="255">
        <f t="shared" si="6"/>
        <v>149.87</v>
      </c>
      <c r="C61" s="255">
        <f t="shared" si="7"/>
        <v>28</v>
      </c>
      <c r="D61" s="255">
        <f t="shared" si="2"/>
        <v>0.52270862886179392</v>
      </c>
      <c r="E61" s="255">
        <f t="shared" si="3"/>
        <v>0.47729137113820608</v>
      </c>
      <c r="F61" s="255">
        <f t="shared" si="8"/>
        <v>0.64289388536081171</v>
      </c>
      <c r="G61" s="255">
        <f t="shared" si="9"/>
        <v>-59.977867623138195</v>
      </c>
      <c r="H61" s="255">
        <f t="shared" si="5"/>
        <v>150.06628055552659</v>
      </c>
      <c r="I61" s="257">
        <f t="shared" si="10"/>
        <v>0.54975124378109452</v>
      </c>
    </row>
    <row r="62" spans="1:9" ht="12.75" customHeight="1">
      <c r="A62" s="1377">
        <v>147.94</v>
      </c>
      <c r="B62" s="255">
        <f t="shared" si="6"/>
        <v>149.91</v>
      </c>
      <c r="C62" s="255">
        <f t="shared" si="7"/>
        <v>29</v>
      </c>
      <c r="D62" s="255">
        <f t="shared" si="2"/>
        <v>0.52823223414205023</v>
      </c>
      <c r="E62" s="255">
        <f t="shared" si="3"/>
        <v>0.47176776585794977</v>
      </c>
      <c r="F62" s="255">
        <f t="shared" si="8"/>
        <v>0.64805656315999449</v>
      </c>
      <c r="G62" s="255">
        <f t="shared" si="9"/>
        <v>-61.103803475280216</v>
      </c>
      <c r="H62" s="255">
        <f t="shared" si="5"/>
        <v>150.21174580222083</v>
      </c>
      <c r="I62" s="257">
        <f t="shared" si="10"/>
        <v>0.56965174129353235</v>
      </c>
    </row>
    <row r="63" spans="1:9" ht="12.75" customHeight="1">
      <c r="A63" s="1377">
        <v>148.61000000000001</v>
      </c>
      <c r="B63" s="255">
        <f t="shared" si="6"/>
        <v>150.02000000000001</v>
      </c>
      <c r="C63" s="255">
        <f t="shared" si="7"/>
        <v>30</v>
      </c>
      <c r="D63" s="255">
        <f t="shared" si="2"/>
        <v>0.54339100255731654</v>
      </c>
      <c r="E63" s="255">
        <f t="shared" si="3"/>
        <v>0.45660899744268346</v>
      </c>
      <c r="F63" s="255">
        <f t="shared" si="8"/>
        <v>0.6709406147040522</v>
      </c>
      <c r="G63" s="255">
        <f t="shared" si="9"/>
        <v>-59.531046516153744</v>
      </c>
      <c r="H63" s="255">
        <f t="shared" si="5"/>
        <v>150.35851138035639</v>
      </c>
      <c r="I63" s="257">
        <f t="shared" si="10"/>
        <v>0.58955223880597019</v>
      </c>
    </row>
    <row r="64" spans="1:9" ht="12.75" customHeight="1">
      <c r="A64" s="1377">
        <v>151.97</v>
      </c>
      <c r="B64" s="255">
        <f t="shared" si="6"/>
        <v>150.22999999999999</v>
      </c>
      <c r="C64" s="255">
        <f t="shared" si="7"/>
        <v>31</v>
      </c>
      <c r="D64" s="255">
        <f t="shared" si="2"/>
        <v>0.57213764240507237</v>
      </c>
      <c r="E64" s="255">
        <f t="shared" si="3"/>
        <v>0.42786235759492763</v>
      </c>
      <c r="F64" s="255">
        <f t="shared" si="8"/>
        <v>0.67344609798948363</v>
      </c>
      <c r="G64" s="255">
        <f t="shared" si="9"/>
        <v>-58.177103121387155</v>
      </c>
      <c r="H64" s="255">
        <f t="shared" si="5"/>
        <v>150.50698926518845</v>
      </c>
      <c r="I64" s="257">
        <f t="shared" si="10"/>
        <v>0.60945273631840791</v>
      </c>
    </row>
    <row r="65" spans="1:9" ht="12.75" customHeight="1">
      <c r="A65" s="1377">
        <v>147.13</v>
      </c>
      <c r="B65" s="255">
        <f t="shared" si="6"/>
        <v>150.27000000000001</v>
      </c>
      <c r="C65" s="255">
        <f t="shared" si="7"/>
        <v>32</v>
      </c>
      <c r="D65" s="255">
        <f t="shared" si="2"/>
        <v>0.57757480617375301</v>
      </c>
      <c r="E65" s="255">
        <f t="shared" si="3"/>
        <v>0.42242519382624699</v>
      </c>
      <c r="F65" s="255">
        <f t="shared" si="8"/>
        <v>0.7016751783171723</v>
      </c>
      <c r="G65" s="255">
        <f t="shared" si="9"/>
        <v>-56.901726092237965</v>
      </c>
      <c r="H65" s="255">
        <f t="shared" si="5"/>
        <v>150.65762443656632</v>
      </c>
      <c r="I65" s="257">
        <f t="shared" si="10"/>
        <v>0.62935323383084574</v>
      </c>
    </row>
    <row r="66" spans="1:9" ht="12.75" customHeight="1">
      <c r="A66" s="1377">
        <v>148.18</v>
      </c>
      <c r="B66" s="255">
        <f t="shared" si="6"/>
        <v>150.41</v>
      </c>
      <c r="C66" s="255">
        <f t="shared" si="7"/>
        <v>33</v>
      </c>
      <c r="D66" s="255">
        <f t="shared" si="2"/>
        <v>0.5964822409551207</v>
      </c>
      <c r="E66" s="255">
        <f t="shared" si="3"/>
        <v>0.4035177590448793</v>
      </c>
      <c r="F66" s="255">
        <f t="shared" si="8"/>
        <v>0.7076619264397338</v>
      </c>
      <c r="G66" s="255">
        <f t="shared" si="9"/>
        <v>-56.062149931113758</v>
      </c>
      <c r="H66" s="255">
        <f t="shared" si="5"/>
        <v>150.81090548182382</v>
      </c>
      <c r="I66" s="257">
        <f t="shared" si="10"/>
        <v>0.64925373134328357</v>
      </c>
    </row>
    <row r="67" spans="1:9" ht="12.75" customHeight="1">
      <c r="A67" s="1377">
        <v>156.9</v>
      </c>
      <c r="B67" s="255">
        <f t="shared" si="6"/>
        <v>150.63999999999999</v>
      </c>
      <c r="C67" s="255">
        <f t="shared" si="7"/>
        <v>34</v>
      </c>
      <c r="D67" s="255">
        <f t="shared" si="2"/>
        <v>0.62704151072880365</v>
      </c>
      <c r="E67" s="255">
        <f t="shared" si="3"/>
        <v>0.37295848927119635</v>
      </c>
      <c r="F67" s="255">
        <f t="shared" si="8"/>
        <v>0.72988616750007418</v>
      </c>
      <c r="G67" s="255">
        <f t="shared" si="9"/>
        <v>-52.367818219841631</v>
      </c>
      <c r="H67" s="255">
        <f t="shared" si="5"/>
        <v>150.96737764462824</v>
      </c>
      <c r="I67" s="257">
        <f t="shared" si="10"/>
        <v>0.6691542288557214</v>
      </c>
    </row>
    <row r="68" spans="1:9" ht="12.75" customHeight="1">
      <c r="A68" s="1377">
        <v>149.91</v>
      </c>
      <c r="B68" s="255">
        <f t="shared" si="6"/>
        <v>150.66999999999999</v>
      </c>
      <c r="C68" s="255">
        <f t="shared" si="7"/>
        <v>35</v>
      </c>
      <c r="D68" s="255">
        <f t="shared" si="2"/>
        <v>0.63097370356647831</v>
      </c>
      <c r="E68" s="255">
        <f t="shared" si="3"/>
        <v>0.36902629643352169</v>
      </c>
      <c r="F68" s="255">
        <f t="shared" si="8"/>
        <v>0.74347335335918563</v>
      </c>
      <c r="G68" s="255">
        <f t="shared" si="9"/>
        <v>-52.227027685521712</v>
      </c>
      <c r="H68" s="255">
        <f t="shared" si="5"/>
        <v>151.12765931054631</v>
      </c>
      <c r="I68" s="257">
        <f t="shared" si="10"/>
        <v>0.68905472636815923</v>
      </c>
    </row>
    <row r="69" spans="1:9" ht="12.75" customHeight="1">
      <c r="A69" s="1377">
        <v>148.43</v>
      </c>
      <c r="B69" s="255">
        <f t="shared" si="6"/>
        <v>150.86000000000001</v>
      </c>
      <c r="C69" s="255">
        <f t="shared" si="7"/>
        <v>36</v>
      </c>
      <c r="D69" s="255">
        <f t="shared" si="2"/>
        <v>0.65554508144924428</v>
      </c>
      <c r="E69" s="255">
        <f t="shared" si="3"/>
        <v>0.34445491855075572</v>
      </c>
      <c r="F69" s="255">
        <f t="shared" si="8"/>
        <v>0.74347335335918563</v>
      </c>
      <c r="G69" s="255">
        <f t="shared" si="9"/>
        <v>-51.028449560473483</v>
      </c>
      <c r="H69" s="255">
        <f t="shared" si="5"/>
        <v>151.29246334821622</v>
      </c>
      <c r="I69" s="257">
        <f t="shared" si="10"/>
        <v>0.70895522388059706</v>
      </c>
    </row>
    <row r="70" spans="1:9" ht="12.75" customHeight="1">
      <c r="A70" s="1377">
        <v>145.6</v>
      </c>
      <c r="B70" s="255">
        <f t="shared" si="6"/>
        <v>151.03</v>
      </c>
      <c r="C70" s="255">
        <f t="shared" si="7"/>
        <v>37</v>
      </c>
      <c r="D70" s="255">
        <f t="shared" si="2"/>
        <v>0.67699046016740783</v>
      </c>
      <c r="E70" s="255">
        <f t="shared" si="3"/>
        <v>0.32300953983259217</v>
      </c>
      <c r="F70" s="255">
        <f t="shared" si="8"/>
        <v>0.75669567518273873</v>
      </c>
      <c r="G70" s="255">
        <f t="shared" si="9"/>
        <v>-48.829131926126088</v>
      </c>
      <c r="H70" s="255">
        <f t="shared" si="5"/>
        <v>151.46262539660185</v>
      </c>
      <c r="I70" s="257">
        <f t="shared" si="10"/>
        <v>0.72885572139303478</v>
      </c>
    </row>
    <row r="71" spans="1:9" ht="12.75" customHeight="1">
      <c r="A71" s="1377">
        <v>154.71</v>
      </c>
      <c r="B71" s="255">
        <f t="shared" si="6"/>
        <v>151.08000000000001</v>
      </c>
      <c r="C71" s="255">
        <f t="shared" si="7"/>
        <v>38</v>
      </c>
      <c r="D71" s="255">
        <f t="shared" si="2"/>
        <v>0.68319148858084078</v>
      </c>
      <c r="E71" s="255">
        <f t="shared" si="3"/>
        <v>0.31680851141915922</v>
      </c>
      <c r="F71" s="255">
        <f t="shared" si="8"/>
        <v>0.77269164526073364</v>
      </c>
      <c r="G71" s="255">
        <f t="shared" si="9"/>
        <v>-47.914148343733928</v>
      </c>
      <c r="H71" s="255">
        <f t="shared" si="5"/>
        <v>151.63914226716261</v>
      </c>
      <c r="I71" s="257">
        <f t="shared" si="10"/>
        <v>0.74875621890547261</v>
      </c>
    </row>
    <row r="72" spans="1:9" ht="12.75" customHeight="1">
      <c r="A72" s="1377">
        <v>148.13</v>
      </c>
      <c r="B72" s="255">
        <f t="shared" si="6"/>
        <v>151.1</v>
      </c>
      <c r="C72" s="255">
        <f t="shared" si="7"/>
        <v>39</v>
      </c>
      <c r="D72" s="255">
        <f t="shared" si="2"/>
        <v>0.68565768713685826</v>
      </c>
      <c r="E72" s="255">
        <f t="shared" si="3"/>
        <v>0.31434231286314174</v>
      </c>
      <c r="F72" s="255">
        <f t="shared" si="8"/>
        <v>0.77892020099431258</v>
      </c>
      <c r="G72" s="255">
        <f t="shared" si="9"/>
        <v>-48.296205668989479</v>
      </c>
      <c r="H72" s="255">
        <f t="shared" si="5"/>
        <v>151.82322541170788</v>
      </c>
      <c r="I72" s="257">
        <f t="shared" si="10"/>
        <v>0.76865671641791045</v>
      </c>
    </row>
    <row r="73" spans="1:9" ht="12.75" customHeight="1">
      <c r="A73" s="1377">
        <v>147.82</v>
      </c>
      <c r="B73" s="255">
        <f t="shared" si="6"/>
        <v>151.41999999999999</v>
      </c>
      <c r="C73" s="255">
        <f t="shared" si="7"/>
        <v>40</v>
      </c>
      <c r="D73" s="255">
        <f t="shared" si="2"/>
        <v>0.72393495336015024</v>
      </c>
      <c r="E73" s="255">
        <f t="shared" si="3"/>
        <v>0.27606504663984976</v>
      </c>
      <c r="F73" s="255">
        <f t="shared" si="8"/>
        <v>0.81418324256117525</v>
      </c>
      <c r="G73" s="255">
        <f t="shared" si="9"/>
        <v>-41.761261134152534</v>
      </c>
      <c r="H73" s="255">
        <f t="shared" si="5"/>
        <v>152.01637745311371</v>
      </c>
      <c r="I73" s="257">
        <f t="shared" si="10"/>
        <v>0.78855721393034828</v>
      </c>
    </row>
    <row r="74" spans="1:9" ht="12.75" customHeight="1">
      <c r="A74" s="1377">
        <v>146.99</v>
      </c>
      <c r="B74" s="255">
        <f t="shared" si="6"/>
        <v>151.97</v>
      </c>
      <c r="C74" s="255">
        <f t="shared" si="7"/>
        <v>41</v>
      </c>
      <c r="D74" s="255">
        <f t="shared" si="2"/>
        <v>0.78387260655342317</v>
      </c>
      <c r="E74" s="255">
        <f t="shared" si="3"/>
        <v>0.21612739344657683</v>
      </c>
      <c r="F74" s="255">
        <f t="shared" si="8"/>
        <v>0.81418324256117525</v>
      </c>
      <c r="G74" s="255">
        <f t="shared" si="9"/>
        <v>-36.375365634345286</v>
      </c>
      <c r="H74" s="255">
        <f t="shared" si="5"/>
        <v>152.22050519627049</v>
      </c>
      <c r="I74" s="257">
        <f t="shared" si="10"/>
        <v>0.80845771144278611</v>
      </c>
    </row>
    <row r="75" spans="1:9" ht="12.75" customHeight="1">
      <c r="A75" s="1377">
        <v>147.55000000000001</v>
      </c>
      <c r="B75" s="255">
        <f t="shared" si="6"/>
        <v>152.12</v>
      </c>
      <c r="C75" s="255">
        <f t="shared" si="7"/>
        <v>42</v>
      </c>
      <c r="D75" s="255">
        <f t="shared" si="2"/>
        <v>0.79880675265810797</v>
      </c>
      <c r="E75" s="255">
        <f t="shared" si="3"/>
        <v>0.20119324734189203</v>
      </c>
      <c r="F75" s="255">
        <f t="shared" si="8"/>
        <v>0.82151805671278322</v>
      </c>
      <c r="G75" s="255">
        <f t="shared" si="9"/>
        <v>-34.962719600308461</v>
      </c>
      <c r="H75" s="255">
        <f t="shared" si="5"/>
        <v>152.43809264415484</v>
      </c>
      <c r="I75" s="257">
        <f t="shared" si="10"/>
        <v>0.82835820895522383</v>
      </c>
    </row>
    <row r="76" spans="1:9" ht="12.75" customHeight="1">
      <c r="A76" s="1377">
        <v>150.86000000000001</v>
      </c>
      <c r="B76" s="255">
        <f t="shared" si="6"/>
        <v>152.72</v>
      </c>
      <c r="C76" s="255">
        <f t="shared" si="7"/>
        <v>43</v>
      </c>
      <c r="D76" s="255">
        <f t="shared" si="2"/>
        <v>0.85209872143120979</v>
      </c>
      <c r="E76" s="255">
        <f t="shared" si="3"/>
        <v>0.14790127856879021</v>
      </c>
      <c r="F76" s="255">
        <f t="shared" si="8"/>
        <v>0.82511610380926148</v>
      </c>
      <c r="G76" s="255">
        <f t="shared" si="9"/>
        <v>-29.944145040506648</v>
      </c>
      <c r="H76" s="255">
        <f t="shared" si="5"/>
        <v>152.67247747622079</v>
      </c>
      <c r="I76" s="257">
        <f t="shared" si="10"/>
        <v>0.84825870646766166</v>
      </c>
    </row>
    <row r="77" spans="1:9" ht="12.75" customHeight="1">
      <c r="A77" s="1377">
        <v>147.05000000000001</v>
      </c>
      <c r="B77" s="255">
        <f t="shared" si="6"/>
        <v>153.41</v>
      </c>
      <c r="C77" s="255">
        <f t="shared" si="7"/>
        <v>44</v>
      </c>
      <c r="D77" s="255">
        <f t="shared" si="2"/>
        <v>0.90056959349166243</v>
      </c>
      <c r="E77" s="255">
        <f t="shared" si="3"/>
        <v>9.9430406508337565E-2</v>
      </c>
      <c r="F77" s="255">
        <f t="shared" si="8"/>
        <v>0.82689774220913281</v>
      </c>
      <c r="G77" s="255">
        <f t="shared" si="9"/>
        <v>-25.64778051379874</v>
      </c>
      <c r="H77" s="255">
        <f t="shared" si="5"/>
        <v>152.92831650385577</v>
      </c>
      <c r="I77" s="257">
        <f t="shared" si="10"/>
        <v>0.86815920398009949</v>
      </c>
    </row>
    <row r="78" spans="1:9" ht="12.75" customHeight="1">
      <c r="A78" s="1377">
        <v>147.01</v>
      </c>
      <c r="B78" s="255">
        <f t="shared" si="6"/>
        <v>153.69999999999999</v>
      </c>
      <c r="C78" s="255">
        <f t="shared" si="7"/>
        <v>45</v>
      </c>
      <c r="D78" s="255">
        <f t="shared" si="2"/>
        <v>0.91703346596561919</v>
      </c>
      <c r="E78" s="255">
        <f t="shared" si="3"/>
        <v>8.2966534034380812E-2</v>
      </c>
      <c r="F78" s="255">
        <f t="shared" si="8"/>
        <v>0.82689774220913281</v>
      </c>
      <c r="G78" s="255">
        <f t="shared" si="9"/>
        <v>-24.625014218965806</v>
      </c>
      <c r="H78" s="255">
        <f t="shared" si="5"/>
        <v>153.21242210222167</v>
      </c>
      <c r="I78" s="257">
        <f t="shared" si="10"/>
        <v>0.88805970149253732</v>
      </c>
    </row>
    <row r="79" spans="1:9" ht="12.75" customHeight="1">
      <c r="A79" s="1377">
        <v>147.49</v>
      </c>
      <c r="B79" s="255">
        <f t="shared" si="6"/>
        <v>153.81</v>
      </c>
      <c r="C79" s="255">
        <f t="shared" si="7"/>
        <v>46</v>
      </c>
      <c r="D79" s="255">
        <f t="shared" si="2"/>
        <v>0.92271076343616276</v>
      </c>
      <c r="E79" s="255">
        <f t="shared" si="3"/>
        <v>7.7289236563837238E-2</v>
      </c>
      <c r="F79" s="255">
        <f t="shared" si="8"/>
        <v>0.8706093138339005</v>
      </c>
      <c r="G79" s="255">
        <f t="shared" si="9"/>
        <v>-19.929128406116821</v>
      </c>
      <c r="H79" s="255">
        <f t="shared" si="5"/>
        <v>153.53539785635948</v>
      </c>
      <c r="I79" s="257">
        <f t="shared" si="10"/>
        <v>0.90796019900497515</v>
      </c>
    </row>
    <row r="80" spans="1:9" ht="12.75" customHeight="1">
      <c r="A80" s="1377">
        <v>157.49</v>
      </c>
      <c r="B80" s="255">
        <f t="shared" si="6"/>
        <v>154.71</v>
      </c>
      <c r="C80" s="255">
        <f t="shared" si="7"/>
        <v>47</v>
      </c>
      <c r="D80" s="255">
        <f t="shared" si="2"/>
        <v>0.95869240871590045</v>
      </c>
      <c r="E80" s="255">
        <f t="shared" si="3"/>
        <v>4.1307591284099554E-2</v>
      </c>
      <c r="F80" s="255">
        <f t="shared" si="8"/>
        <v>0.88534046176712011</v>
      </c>
      <c r="G80" s="255">
        <f t="shared" si="9"/>
        <v>-15.249024244813148</v>
      </c>
      <c r="H80" s="255">
        <f t="shared" si="5"/>
        <v>153.91522564242595</v>
      </c>
      <c r="I80" s="257">
        <f t="shared" si="10"/>
        <v>0.92786069651741299</v>
      </c>
    </row>
    <row r="81" spans="1:9" ht="12.75" customHeight="1">
      <c r="A81" s="1377">
        <v>145.75</v>
      </c>
      <c r="B81" s="255">
        <f t="shared" si="6"/>
        <v>155.72999999999999</v>
      </c>
      <c r="C81" s="255">
        <f t="shared" si="7"/>
        <v>48</v>
      </c>
      <c r="D81" s="255">
        <f t="shared" si="2"/>
        <v>0.98166850795404437</v>
      </c>
      <c r="E81" s="255">
        <f t="shared" si="3"/>
        <v>1.8331492045955633E-2</v>
      </c>
      <c r="F81" s="255">
        <f t="shared" si="8"/>
        <v>0.91497941335025668</v>
      </c>
      <c r="G81" s="255">
        <f t="shared" si="9"/>
        <v>-10.198754347594942</v>
      </c>
      <c r="H81" s="255">
        <f t="shared" si="5"/>
        <v>154.38655671845535</v>
      </c>
      <c r="I81" s="257">
        <f t="shared" si="10"/>
        <v>0.94776119402985071</v>
      </c>
    </row>
    <row r="82" spans="1:9" ht="12.75" customHeight="1">
      <c r="A82" s="1377">
        <v>150.41</v>
      </c>
      <c r="B82" s="255">
        <f t="shared" si="6"/>
        <v>156.9</v>
      </c>
      <c r="C82" s="255">
        <f t="shared" si="7"/>
        <v>49</v>
      </c>
      <c r="D82" s="255">
        <f t="shared" si="2"/>
        <v>0.99370768670977949</v>
      </c>
      <c r="E82" s="255">
        <f t="shared" si="3"/>
        <v>6.2923132902205081E-3</v>
      </c>
      <c r="F82" s="255">
        <f t="shared" si="8"/>
        <v>0.92279110805942954</v>
      </c>
      <c r="G82" s="255">
        <f t="shared" si="9"/>
        <v>-8.4064644430386259</v>
      </c>
      <c r="H82" s="255">
        <f t="shared" si="5"/>
        <v>155.03226310920411</v>
      </c>
      <c r="I82" s="257">
        <f t="shared" si="10"/>
        <v>0.96766169154228854</v>
      </c>
    </row>
    <row r="83" spans="1:9" ht="12.75" customHeight="1">
      <c r="A83" s="1377">
        <v>152.72</v>
      </c>
      <c r="B83" s="255">
        <f t="shared" si="6"/>
        <v>157.49</v>
      </c>
      <c r="C83" s="255">
        <f t="shared" si="7"/>
        <v>50</v>
      </c>
      <c r="D83" s="255">
        <f t="shared" si="2"/>
        <v>0.99653254975574757</v>
      </c>
      <c r="E83" s="255">
        <f t="shared" si="3"/>
        <v>3.4674502442524346E-3</v>
      </c>
      <c r="F83" s="255">
        <f t="shared" si="8"/>
        <v>0.94414876776069012</v>
      </c>
      <c r="G83" s="255">
        <f t="shared" si="9"/>
        <v>-6.033555798830025</v>
      </c>
      <c r="H83" s="255">
        <f t="shared" si="5"/>
        <v>156.17350942233045</v>
      </c>
      <c r="I83" s="257">
        <f t="shared" si="10"/>
        <v>0.98756218905472637</v>
      </c>
    </row>
    <row r="84" spans="1:9" ht="12.75" customHeight="1">
      <c r="A84" s="242"/>
      <c r="B84" s="255" t="e">
        <f t="shared" si="6"/>
        <v>#N/A</v>
      </c>
      <c r="C84" s="255" t="str">
        <f t="shared" si="7"/>
        <v/>
      </c>
      <c r="D84" s="255" t="str">
        <f t="shared" si="2"/>
        <v/>
      </c>
      <c r="E84" s="255" t="str">
        <f t="shared" si="3"/>
        <v/>
      </c>
      <c r="F84" s="255" t="str">
        <f t="shared" si="8"/>
        <v/>
      </c>
      <c r="G84" s="255" t="str">
        <f t="shared" si="9"/>
        <v/>
      </c>
      <c r="H84" s="255" t="e">
        <f t="shared" si="5"/>
        <v>#N/A</v>
      </c>
      <c r="I84" s="257" t="e">
        <f t="shared" si="10"/>
        <v>#N/A</v>
      </c>
    </row>
    <row r="85" spans="1:9" ht="12.75" customHeight="1">
      <c r="A85" s="242"/>
      <c r="B85" s="255" t="e">
        <f t="shared" si="6"/>
        <v>#N/A</v>
      </c>
      <c r="C85" s="255" t="str">
        <f t="shared" si="7"/>
        <v/>
      </c>
      <c r="D85" s="255" t="str">
        <f t="shared" si="2"/>
        <v/>
      </c>
      <c r="E85" s="255" t="str">
        <f t="shared" si="3"/>
        <v/>
      </c>
      <c r="F85" s="255" t="str">
        <f t="shared" si="8"/>
        <v/>
      </c>
      <c r="G85" s="255" t="str">
        <f t="shared" si="9"/>
        <v/>
      </c>
      <c r="H85" s="255" t="e">
        <f t="shared" si="5"/>
        <v>#N/A</v>
      </c>
      <c r="I85" s="257" t="e">
        <f t="shared" si="10"/>
        <v>#N/A</v>
      </c>
    </row>
    <row r="86" spans="1:9" ht="12.75" customHeight="1">
      <c r="A86" s="242"/>
      <c r="B86" s="255" t="e">
        <f t="shared" si="6"/>
        <v>#N/A</v>
      </c>
      <c r="C86" s="255" t="str">
        <f t="shared" si="7"/>
        <v/>
      </c>
      <c r="D86" s="255" t="str">
        <f t="shared" si="2"/>
        <v/>
      </c>
      <c r="E86" s="255" t="str">
        <f t="shared" si="3"/>
        <v/>
      </c>
      <c r="F86" s="255" t="str">
        <f t="shared" si="8"/>
        <v/>
      </c>
      <c r="G86" s="255" t="str">
        <f t="shared" si="9"/>
        <v/>
      </c>
      <c r="H86" s="255" t="e">
        <f t="shared" si="5"/>
        <v>#N/A</v>
      </c>
      <c r="I86" s="257" t="e">
        <f t="shared" si="10"/>
        <v>#N/A</v>
      </c>
    </row>
    <row r="87" spans="1:9" ht="12.75" customHeight="1">
      <c r="A87" s="242"/>
      <c r="B87" s="255" t="e">
        <f t="shared" si="6"/>
        <v>#N/A</v>
      </c>
      <c r="C87" s="255" t="str">
        <f t="shared" si="7"/>
        <v/>
      </c>
      <c r="D87" s="255" t="str">
        <f t="shared" si="2"/>
        <v/>
      </c>
      <c r="E87" s="255" t="str">
        <f t="shared" si="3"/>
        <v/>
      </c>
      <c r="F87" s="255" t="str">
        <f t="shared" si="8"/>
        <v/>
      </c>
      <c r="G87" s="255" t="str">
        <f t="shared" si="9"/>
        <v/>
      </c>
      <c r="H87" s="255" t="e">
        <f t="shared" si="5"/>
        <v>#N/A</v>
      </c>
      <c r="I87" s="257" t="e">
        <f t="shared" si="10"/>
        <v>#N/A</v>
      </c>
    </row>
    <row r="88" spans="1:9" ht="12.75" customHeight="1">
      <c r="A88" s="242"/>
      <c r="B88" s="255" t="e">
        <f t="shared" si="6"/>
        <v>#N/A</v>
      </c>
      <c r="C88" s="255" t="str">
        <f t="shared" si="7"/>
        <v/>
      </c>
      <c r="D88" s="255" t="str">
        <f t="shared" si="2"/>
        <v/>
      </c>
      <c r="E88" s="255" t="str">
        <f t="shared" si="3"/>
        <v/>
      </c>
      <c r="F88" s="255" t="str">
        <f t="shared" si="8"/>
        <v/>
      </c>
      <c r="G88" s="255" t="str">
        <f t="shared" si="9"/>
        <v/>
      </c>
      <c r="H88" s="255" t="e">
        <f t="shared" si="5"/>
        <v>#N/A</v>
      </c>
      <c r="I88" s="257" t="e">
        <f t="shared" si="10"/>
        <v>#N/A</v>
      </c>
    </row>
    <row r="89" spans="1:9" ht="12.75" customHeight="1">
      <c r="A89" s="242"/>
      <c r="B89" s="255" t="e">
        <f t="shared" si="6"/>
        <v>#N/A</v>
      </c>
      <c r="C89" s="255" t="str">
        <f t="shared" si="7"/>
        <v/>
      </c>
      <c r="D89" s="255" t="str">
        <f t="shared" si="2"/>
        <v/>
      </c>
      <c r="E89" s="255" t="str">
        <f t="shared" si="3"/>
        <v/>
      </c>
      <c r="F89" s="255" t="str">
        <f t="shared" si="8"/>
        <v/>
      </c>
      <c r="G89" s="255" t="str">
        <f t="shared" si="9"/>
        <v/>
      </c>
      <c r="H89" s="255" t="e">
        <f t="shared" si="5"/>
        <v>#N/A</v>
      </c>
      <c r="I89" s="257" t="e">
        <f t="shared" si="10"/>
        <v>#N/A</v>
      </c>
    </row>
    <row r="90" spans="1:9" ht="12.75" customHeight="1">
      <c r="A90" s="242"/>
      <c r="B90" s="255" t="e">
        <f t="shared" si="6"/>
        <v>#N/A</v>
      </c>
      <c r="C90" s="255" t="str">
        <f t="shared" si="7"/>
        <v/>
      </c>
      <c r="D90" s="255" t="str">
        <f t="shared" si="2"/>
        <v/>
      </c>
      <c r="E90" s="255" t="str">
        <f t="shared" si="3"/>
        <v/>
      </c>
      <c r="F90" s="255" t="str">
        <f t="shared" si="8"/>
        <v/>
      </c>
      <c r="G90" s="255" t="str">
        <f t="shared" si="9"/>
        <v/>
      </c>
      <c r="H90" s="255" t="e">
        <f t="shared" si="5"/>
        <v>#N/A</v>
      </c>
      <c r="I90" s="257" t="e">
        <f t="shared" si="10"/>
        <v>#N/A</v>
      </c>
    </row>
    <row r="91" spans="1:9" ht="12.75" customHeight="1">
      <c r="A91" s="242"/>
      <c r="B91" s="255" t="e">
        <f t="shared" si="6"/>
        <v>#N/A</v>
      </c>
      <c r="C91" s="255" t="str">
        <f t="shared" si="7"/>
        <v/>
      </c>
      <c r="D91" s="255" t="str">
        <f t="shared" si="2"/>
        <v/>
      </c>
      <c r="E91" s="255" t="str">
        <f t="shared" si="3"/>
        <v/>
      </c>
      <c r="F91" s="255" t="str">
        <f t="shared" si="8"/>
        <v/>
      </c>
      <c r="G91" s="255" t="str">
        <f t="shared" si="9"/>
        <v/>
      </c>
      <c r="H91" s="255" t="e">
        <f t="shared" si="5"/>
        <v>#N/A</v>
      </c>
      <c r="I91" s="257" t="e">
        <f t="shared" si="10"/>
        <v>#N/A</v>
      </c>
    </row>
    <row r="92" spans="1:9" ht="12.75" customHeight="1">
      <c r="A92" s="242"/>
      <c r="B92" s="255" t="e">
        <f t="shared" si="6"/>
        <v>#N/A</v>
      </c>
      <c r="C92" s="255" t="str">
        <f t="shared" si="7"/>
        <v/>
      </c>
      <c r="D92" s="255" t="str">
        <f t="shared" si="2"/>
        <v/>
      </c>
      <c r="E92" s="255" t="str">
        <f t="shared" si="3"/>
        <v/>
      </c>
      <c r="F92" s="255" t="str">
        <f t="shared" si="8"/>
        <v/>
      </c>
      <c r="G92" s="255" t="str">
        <f t="shared" si="9"/>
        <v/>
      </c>
      <c r="H92" s="255" t="e">
        <f t="shared" si="5"/>
        <v>#N/A</v>
      </c>
      <c r="I92" s="257" t="e">
        <f t="shared" si="10"/>
        <v>#N/A</v>
      </c>
    </row>
    <row r="93" spans="1:9" ht="12.75" customHeight="1">
      <c r="A93" s="242"/>
      <c r="B93" s="255" t="e">
        <f t="shared" si="6"/>
        <v>#N/A</v>
      </c>
      <c r="C93" s="255" t="str">
        <f t="shared" si="7"/>
        <v/>
      </c>
      <c r="D93" s="255" t="str">
        <f t="shared" si="2"/>
        <v/>
      </c>
      <c r="E93" s="255" t="str">
        <f t="shared" si="3"/>
        <v/>
      </c>
      <c r="F93" s="255" t="str">
        <f t="shared" si="8"/>
        <v/>
      </c>
      <c r="G93" s="255" t="str">
        <f t="shared" si="9"/>
        <v/>
      </c>
      <c r="H93" s="255" t="e">
        <f t="shared" si="5"/>
        <v>#N/A</v>
      </c>
      <c r="I93" s="257" t="e">
        <f t="shared" si="10"/>
        <v>#N/A</v>
      </c>
    </row>
    <row r="94" spans="1:9" ht="12.75" customHeight="1">
      <c r="A94" s="242"/>
      <c r="B94" s="255" t="e">
        <f t="shared" si="6"/>
        <v>#N/A</v>
      </c>
      <c r="C94" s="255" t="str">
        <f t="shared" si="7"/>
        <v/>
      </c>
      <c r="D94" s="255" t="str">
        <f t="shared" si="2"/>
        <v/>
      </c>
      <c r="E94" s="255" t="str">
        <f t="shared" si="3"/>
        <v/>
      </c>
      <c r="F94" s="255" t="str">
        <f t="shared" si="8"/>
        <v/>
      </c>
      <c r="G94" s="255" t="str">
        <f t="shared" si="9"/>
        <v/>
      </c>
      <c r="H94" s="255" t="e">
        <f t="shared" si="5"/>
        <v>#N/A</v>
      </c>
      <c r="I94" s="257" t="e">
        <f t="shared" si="10"/>
        <v>#N/A</v>
      </c>
    </row>
    <row r="95" spans="1:9" ht="12.75" customHeight="1">
      <c r="A95" s="242"/>
      <c r="B95" s="255" t="e">
        <f t="shared" si="6"/>
        <v>#N/A</v>
      </c>
      <c r="C95" s="255" t="str">
        <f t="shared" si="7"/>
        <v/>
      </c>
      <c r="D95" s="255" t="str">
        <f t="shared" si="2"/>
        <v/>
      </c>
      <c r="E95" s="255" t="str">
        <f t="shared" si="3"/>
        <v/>
      </c>
      <c r="F95" s="255" t="str">
        <f t="shared" si="8"/>
        <v/>
      </c>
      <c r="G95" s="255" t="str">
        <f t="shared" si="9"/>
        <v/>
      </c>
      <c r="H95" s="255" t="e">
        <f t="shared" si="5"/>
        <v>#N/A</v>
      </c>
      <c r="I95" s="257" t="e">
        <f t="shared" si="10"/>
        <v>#N/A</v>
      </c>
    </row>
    <row r="96" spans="1:9" ht="12.75" customHeight="1">
      <c r="A96" s="242"/>
      <c r="B96" s="255" t="e">
        <f t="shared" si="6"/>
        <v>#N/A</v>
      </c>
      <c r="C96" s="255" t="str">
        <f t="shared" si="7"/>
        <v/>
      </c>
      <c r="D96" s="255" t="str">
        <f t="shared" si="2"/>
        <v/>
      </c>
      <c r="E96" s="255" t="str">
        <f t="shared" si="3"/>
        <v/>
      </c>
      <c r="F96" s="255" t="str">
        <f t="shared" si="8"/>
        <v/>
      </c>
      <c r="G96" s="255" t="str">
        <f t="shared" si="9"/>
        <v/>
      </c>
      <c r="H96" s="255" t="e">
        <f t="shared" si="5"/>
        <v>#N/A</v>
      </c>
      <c r="I96" s="257" t="e">
        <f t="shared" si="10"/>
        <v>#N/A</v>
      </c>
    </row>
    <row r="97" spans="1:9" ht="12.75" customHeight="1">
      <c r="A97" s="242"/>
      <c r="B97" s="255" t="e">
        <f t="shared" si="6"/>
        <v>#N/A</v>
      </c>
      <c r="C97" s="255" t="str">
        <f t="shared" si="7"/>
        <v/>
      </c>
      <c r="D97" s="255" t="str">
        <f t="shared" si="2"/>
        <v/>
      </c>
      <c r="E97" s="255" t="str">
        <f t="shared" si="3"/>
        <v/>
      </c>
      <c r="F97" s="255" t="str">
        <f t="shared" si="8"/>
        <v/>
      </c>
      <c r="G97" s="255" t="str">
        <f t="shared" si="9"/>
        <v/>
      </c>
      <c r="H97" s="255" t="e">
        <f t="shared" si="5"/>
        <v>#N/A</v>
      </c>
      <c r="I97" s="257" t="e">
        <f t="shared" si="10"/>
        <v>#N/A</v>
      </c>
    </row>
    <row r="98" spans="1:9" ht="12.75" customHeight="1">
      <c r="A98" s="242"/>
      <c r="B98" s="255" t="e">
        <f t="shared" si="6"/>
        <v>#N/A</v>
      </c>
      <c r="C98" s="255" t="str">
        <f t="shared" si="7"/>
        <v/>
      </c>
      <c r="D98" s="255" t="str">
        <f t="shared" ref="D98:D132" si="11">IF(ISBLANK(A98),"",NORMSDIST((B98-$B$24)/$B$25))</f>
        <v/>
      </c>
      <c r="E98" s="255" t="str">
        <f t="shared" ref="E98:E129" si="12">IF(ISBLANK(A98),"",1-D98)</f>
        <v/>
      </c>
      <c r="F98" s="255" t="str">
        <f t="shared" si="8"/>
        <v/>
      </c>
      <c r="G98" s="255" t="str">
        <f t="shared" si="9"/>
        <v/>
      </c>
      <c r="H98" s="255" t="e">
        <f t="shared" ref="H98:H132" si="13">IF(A98="",NA(),NORMINV((C98-3/8)/($B$23+1/4),$B$24,$B$25))</f>
        <v>#N/A</v>
      </c>
      <c r="I98" s="257" t="e">
        <f t="shared" si="10"/>
        <v>#N/A</v>
      </c>
    </row>
    <row r="99" spans="1:9" ht="12.75" customHeight="1">
      <c r="A99" s="242"/>
      <c r="B99" s="255" t="e">
        <f t="shared" ref="B99:B162" si="14">IF(ISBLANK(A99),NA(),SMALL(A$34:A$533,C99))</f>
        <v>#N/A</v>
      </c>
      <c r="C99" s="255" t="str">
        <f t="shared" ref="C99:C132" si="15">IF(ISBLANK(A99),"",C98+1)</f>
        <v/>
      </c>
      <c r="D99" s="255" t="str">
        <f t="shared" si="11"/>
        <v/>
      </c>
      <c r="E99" s="255" t="str">
        <f t="shared" si="12"/>
        <v/>
      </c>
      <c r="F99" s="255" t="str">
        <f t="shared" ref="F99:F162" si="16">IF(ISBLANK(A99),"",SMALL($E$34:$E$533,C99))</f>
        <v/>
      </c>
      <c r="G99" s="255" t="str">
        <f t="shared" ref="G99:G162" si="17">IF(ISBLANK(A99),"",(2*C99-1)*(LN(F99)+LN(D99)))</f>
        <v/>
      </c>
      <c r="H99" s="255" t="e">
        <f t="shared" si="13"/>
        <v>#N/A</v>
      </c>
      <c r="I99" s="257" t="e">
        <f t="shared" ref="I99:I132" si="18">IF(B99="",NA(),(C99-3/8)/($B$23+1/4))</f>
        <v>#N/A</v>
      </c>
    </row>
    <row r="100" spans="1:9" ht="12.75" customHeight="1">
      <c r="A100" s="242"/>
      <c r="B100" s="255" t="e">
        <f t="shared" si="14"/>
        <v>#N/A</v>
      </c>
      <c r="C100" s="255" t="str">
        <f t="shared" si="15"/>
        <v/>
      </c>
      <c r="D100" s="255" t="str">
        <f t="shared" si="11"/>
        <v/>
      </c>
      <c r="E100" s="255" t="str">
        <f t="shared" si="12"/>
        <v/>
      </c>
      <c r="F100" s="255" t="str">
        <f t="shared" si="16"/>
        <v/>
      </c>
      <c r="G100" s="255" t="str">
        <f t="shared" si="17"/>
        <v/>
      </c>
      <c r="H100" s="255" t="e">
        <f t="shared" si="13"/>
        <v>#N/A</v>
      </c>
      <c r="I100" s="257" t="e">
        <f t="shared" si="18"/>
        <v>#N/A</v>
      </c>
    </row>
    <row r="101" spans="1:9" ht="12.75" customHeight="1">
      <c r="A101" s="242"/>
      <c r="B101" s="255" t="e">
        <f t="shared" si="14"/>
        <v>#N/A</v>
      </c>
      <c r="C101" s="255" t="str">
        <f t="shared" si="15"/>
        <v/>
      </c>
      <c r="D101" s="255" t="str">
        <f t="shared" si="11"/>
        <v/>
      </c>
      <c r="E101" s="255" t="str">
        <f t="shared" si="12"/>
        <v/>
      </c>
      <c r="F101" s="255" t="str">
        <f t="shared" si="16"/>
        <v/>
      </c>
      <c r="G101" s="255" t="str">
        <f t="shared" si="17"/>
        <v/>
      </c>
      <c r="H101" s="255" t="e">
        <f t="shared" si="13"/>
        <v>#N/A</v>
      </c>
      <c r="I101" s="257" t="e">
        <f t="shared" si="18"/>
        <v>#N/A</v>
      </c>
    </row>
    <row r="102" spans="1:9" ht="12.75" customHeight="1">
      <c r="A102" s="242"/>
      <c r="B102" s="255" t="e">
        <f t="shared" si="14"/>
        <v>#N/A</v>
      </c>
      <c r="C102" s="255" t="str">
        <f t="shared" si="15"/>
        <v/>
      </c>
      <c r="D102" s="255" t="str">
        <f t="shared" si="11"/>
        <v/>
      </c>
      <c r="E102" s="255" t="str">
        <f t="shared" si="12"/>
        <v/>
      </c>
      <c r="F102" s="255" t="str">
        <f t="shared" si="16"/>
        <v/>
      </c>
      <c r="G102" s="255" t="str">
        <f t="shared" si="17"/>
        <v/>
      </c>
      <c r="H102" s="255" t="e">
        <f t="shared" si="13"/>
        <v>#N/A</v>
      </c>
      <c r="I102" s="257" t="e">
        <f t="shared" si="18"/>
        <v>#N/A</v>
      </c>
    </row>
    <row r="103" spans="1:9" ht="12.75" customHeight="1">
      <c r="A103" s="242"/>
      <c r="B103" s="255" t="e">
        <f t="shared" si="14"/>
        <v>#N/A</v>
      </c>
      <c r="C103" s="255" t="str">
        <f t="shared" si="15"/>
        <v/>
      </c>
      <c r="D103" s="255" t="str">
        <f t="shared" si="11"/>
        <v/>
      </c>
      <c r="E103" s="255" t="str">
        <f t="shared" si="12"/>
        <v/>
      </c>
      <c r="F103" s="255" t="str">
        <f t="shared" si="16"/>
        <v/>
      </c>
      <c r="G103" s="255" t="str">
        <f t="shared" si="17"/>
        <v/>
      </c>
      <c r="H103" s="255" t="e">
        <f t="shared" si="13"/>
        <v>#N/A</v>
      </c>
      <c r="I103" s="257" t="e">
        <f t="shared" si="18"/>
        <v>#N/A</v>
      </c>
    </row>
    <row r="104" spans="1:9" ht="12.75" customHeight="1">
      <c r="A104" s="242"/>
      <c r="B104" s="255" t="e">
        <f t="shared" si="14"/>
        <v>#N/A</v>
      </c>
      <c r="C104" s="255" t="str">
        <f t="shared" si="15"/>
        <v/>
      </c>
      <c r="D104" s="255" t="str">
        <f t="shared" si="11"/>
        <v/>
      </c>
      <c r="E104" s="255" t="str">
        <f t="shared" si="12"/>
        <v/>
      </c>
      <c r="F104" s="255" t="str">
        <f t="shared" si="16"/>
        <v/>
      </c>
      <c r="G104" s="255" t="str">
        <f t="shared" si="17"/>
        <v/>
      </c>
      <c r="H104" s="255" t="e">
        <f t="shared" si="13"/>
        <v>#N/A</v>
      </c>
      <c r="I104" s="257" t="e">
        <f t="shared" si="18"/>
        <v>#N/A</v>
      </c>
    </row>
    <row r="105" spans="1:9" ht="12.75" customHeight="1">
      <c r="A105" s="242"/>
      <c r="B105" s="255" t="e">
        <f t="shared" si="14"/>
        <v>#N/A</v>
      </c>
      <c r="C105" s="255" t="str">
        <f t="shared" si="15"/>
        <v/>
      </c>
      <c r="D105" s="255" t="str">
        <f t="shared" si="11"/>
        <v/>
      </c>
      <c r="E105" s="255" t="str">
        <f t="shared" si="12"/>
        <v/>
      </c>
      <c r="F105" s="255" t="str">
        <f t="shared" si="16"/>
        <v/>
      </c>
      <c r="G105" s="255" t="str">
        <f t="shared" si="17"/>
        <v/>
      </c>
      <c r="H105" s="255" t="e">
        <f t="shared" si="13"/>
        <v>#N/A</v>
      </c>
      <c r="I105" s="257" t="e">
        <f t="shared" si="18"/>
        <v>#N/A</v>
      </c>
    </row>
    <row r="106" spans="1:9" ht="12.75" customHeight="1">
      <c r="A106" s="242"/>
      <c r="B106" s="255" t="e">
        <f t="shared" si="14"/>
        <v>#N/A</v>
      </c>
      <c r="C106" s="255" t="str">
        <f t="shared" si="15"/>
        <v/>
      </c>
      <c r="D106" s="255" t="str">
        <f t="shared" si="11"/>
        <v/>
      </c>
      <c r="E106" s="255" t="str">
        <f t="shared" si="12"/>
        <v/>
      </c>
      <c r="F106" s="255" t="str">
        <f t="shared" si="16"/>
        <v/>
      </c>
      <c r="G106" s="255" t="str">
        <f t="shared" si="17"/>
        <v/>
      </c>
      <c r="H106" s="255" t="e">
        <f t="shared" si="13"/>
        <v>#N/A</v>
      </c>
      <c r="I106" s="257" t="e">
        <f t="shared" si="18"/>
        <v>#N/A</v>
      </c>
    </row>
    <row r="107" spans="1:9" ht="12.75" customHeight="1">
      <c r="A107" s="242"/>
      <c r="B107" s="255" t="e">
        <f t="shared" si="14"/>
        <v>#N/A</v>
      </c>
      <c r="C107" s="255" t="str">
        <f t="shared" si="15"/>
        <v/>
      </c>
      <c r="D107" s="255" t="str">
        <f t="shared" si="11"/>
        <v/>
      </c>
      <c r="E107" s="255" t="str">
        <f t="shared" si="12"/>
        <v/>
      </c>
      <c r="F107" s="255" t="str">
        <f t="shared" si="16"/>
        <v/>
      </c>
      <c r="G107" s="255" t="str">
        <f t="shared" si="17"/>
        <v/>
      </c>
      <c r="H107" s="255" t="e">
        <f t="shared" si="13"/>
        <v>#N/A</v>
      </c>
      <c r="I107" s="257" t="e">
        <f t="shared" si="18"/>
        <v>#N/A</v>
      </c>
    </row>
    <row r="108" spans="1:9" ht="12.75" customHeight="1">
      <c r="A108" s="242"/>
      <c r="B108" s="255" t="e">
        <f t="shared" si="14"/>
        <v>#N/A</v>
      </c>
      <c r="C108" s="255" t="str">
        <f t="shared" si="15"/>
        <v/>
      </c>
      <c r="D108" s="255" t="str">
        <f t="shared" si="11"/>
        <v/>
      </c>
      <c r="E108" s="255" t="str">
        <f t="shared" si="12"/>
        <v/>
      </c>
      <c r="F108" s="255" t="str">
        <f t="shared" si="16"/>
        <v/>
      </c>
      <c r="G108" s="255" t="str">
        <f t="shared" si="17"/>
        <v/>
      </c>
      <c r="H108" s="255" t="e">
        <f t="shared" si="13"/>
        <v>#N/A</v>
      </c>
      <c r="I108" s="257" t="e">
        <f t="shared" si="18"/>
        <v>#N/A</v>
      </c>
    </row>
    <row r="109" spans="1:9" ht="12.75" customHeight="1">
      <c r="A109" s="242"/>
      <c r="B109" s="255" t="e">
        <f t="shared" si="14"/>
        <v>#N/A</v>
      </c>
      <c r="C109" s="255" t="str">
        <f t="shared" si="15"/>
        <v/>
      </c>
      <c r="D109" s="255" t="str">
        <f t="shared" si="11"/>
        <v/>
      </c>
      <c r="E109" s="255" t="str">
        <f t="shared" si="12"/>
        <v/>
      </c>
      <c r="F109" s="255" t="str">
        <f t="shared" si="16"/>
        <v/>
      </c>
      <c r="G109" s="255" t="str">
        <f t="shared" si="17"/>
        <v/>
      </c>
      <c r="H109" s="255" t="e">
        <f t="shared" si="13"/>
        <v>#N/A</v>
      </c>
      <c r="I109" s="257" t="e">
        <f t="shared" si="18"/>
        <v>#N/A</v>
      </c>
    </row>
    <row r="110" spans="1:9" ht="12.75" customHeight="1">
      <c r="A110" s="242"/>
      <c r="B110" s="255" t="e">
        <f t="shared" si="14"/>
        <v>#N/A</v>
      </c>
      <c r="C110" s="255" t="str">
        <f t="shared" si="15"/>
        <v/>
      </c>
      <c r="D110" s="255" t="str">
        <f t="shared" si="11"/>
        <v/>
      </c>
      <c r="E110" s="255" t="str">
        <f t="shared" si="12"/>
        <v/>
      </c>
      <c r="F110" s="255" t="str">
        <f t="shared" si="16"/>
        <v/>
      </c>
      <c r="G110" s="255" t="str">
        <f t="shared" si="17"/>
        <v/>
      </c>
      <c r="H110" s="255" t="e">
        <f t="shared" si="13"/>
        <v>#N/A</v>
      </c>
      <c r="I110" s="257" t="e">
        <f t="shared" si="18"/>
        <v>#N/A</v>
      </c>
    </row>
    <row r="111" spans="1:9" ht="12.75" customHeight="1">
      <c r="A111" s="242"/>
      <c r="B111" s="255" t="e">
        <f t="shared" si="14"/>
        <v>#N/A</v>
      </c>
      <c r="C111" s="255" t="str">
        <f t="shared" si="15"/>
        <v/>
      </c>
      <c r="D111" s="255" t="str">
        <f t="shared" si="11"/>
        <v/>
      </c>
      <c r="E111" s="255" t="str">
        <f t="shared" si="12"/>
        <v/>
      </c>
      <c r="F111" s="255" t="str">
        <f t="shared" si="16"/>
        <v/>
      </c>
      <c r="G111" s="255" t="str">
        <f t="shared" si="17"/>
        <v/>
      </c>
      <c r="H111" s="255" t="e">
        <f t="shared" si="13"/>
        <v>#N/A</v>
      </c>
      <c r="I111" s="257" t="e">
        <f t="shared" si="18"/>
        <v>#N/A</v>
      </c>
    </row>
    <row r="112" spans="1:9" ht="12.75" customHeight="1">
      <c r="A112" s="242"/>
      <c r="B112" s="255" t="e">
        <f t="shared" si="14"/>
        <v>#N/A</v>
      </c>
      <c r="C112" s="255" t="str">
        <f t="shared" si="15"/>
        <v/>
      </c>
      <c r="D112" s="255" t="str">
        <f t="shared" si="11"/>
        <v/>
      </c>
      <c r="E112" s="255" t="str">
        <f t="shared" si="12"/>
        <v/>
      </c>
      <c r="F112" s="255" t="str">
        <f t="shared" si="16"/>
        <v/>
      </c>
      <c r="G112" s="255" t="str">
        <f t="shared" si="17"/>
        <v/>
      </c>
      <c r="H112" s="255" t="e">
        <f t="shared" si="13"/>
        <v>#N/A</v>
      </c>
      <c r="I112" s="257" t="e">
        <f t="shared" si="18"/>
        <v>#N/A</v>
      </c>
    </row>
    <row r="113" spans="1:9" ht="12.75" customHeight="1">
      <c r="A113" s="242"/>
      <c r="B113" s="255" t="e">
        <f t="shared" si="14"/>
        <v>#N/A</v>
      </c>
      <c r="C113" s="255" t="str">
        <f t="shared" si="15"/>
        <v/>
      </c>
      <c r="D113" s="255" t="str">
        <f t="shared" si="11"/>
        <v/>
      </c>
      <c r="E113" s="255" t="str">
        <f t="shared" si="12"/>
        <v/>
      </c>
      <c r="F113" s="255" t="str">
        <f t="shared" si="16"/>
        <v/>
      </c>
      <c r="G113" s="255" t="str">
        <f t="shared" si="17"/>
        <v/>
      </c>
      <c r="H113" s="255" t="e">
        <f t="shared" si="13"/>
        <v>#N/A</v>
      </c>
      <c r="I113" s="257" t="e">
        <f t="shared" si="18"/>
        <v>#N/A</v>
      </c>
    </row>
    <row r="114" spans="1:9" ht="12.75" customHeight="1">
      <c r="A114" s="242"/>
      <c r="B114" s="255" t="e">
        <f t="shared" si="14"/>
        <v>#N/A</v>
      </c>
      <c r="C114" s="255" t="str">
        <f t="shared" si="15"/>
        <v/>
      </c>
      <c r="D114" s="255" t="str">
        <f t="shared" si="11"/>
        <v/>
      </c>
      <c r="E114" s="255" t="str">
        <f t="shared" si="12"/>
        <v/>
      </c>
      <c r="F114" s="255" t="str">
        <f t="shared" si="16"/>
        <v/>
      </c>
      <c r="G114" s="255" t="str">
        <f t="shared" si="17"/>
        <v/>
      </c>
      <c r="H114" s="255" t="e">
        <f t="shared" si="13"/>
        <v>#N/A</v>
      </c>
      <c r="I114" s="257" t="e">
        <f t="shared" si="18"/>
        <v>#N/A</v>
      </c>
    </row>
    <row r="115" spans="1:9" ht="12.75" customHeight="1">
      <c r="A115" s="242"/>
      <c r="B115" s="255" t="e">
        <f t="shared" si="14"/>
        <v>#N/A</v>
      </c>
      <c r="C115" s="255" t="str">
        <f t="shared" si="15"/>
        <v/>
      </c>
      <c r="D115" s="255" t="str">
        <f t="shared" si="11"/>
        <v/>
      </c>
      <c r="E115" s="255" t="str">
        <f t="shared" si="12"/>
        <v/>
      </c>
      <c r="F115" s="255" t="str">
        <f t="shared" si="16"/>
        <v/>
      </c>
      <c r="G115" s="255" t="str">
        <f t="shared" si="17"/>
        <v/>
      </c>
      <c r="H115" s="255" t="e">
        <f t="shared" si="13"/>
        <v>#N/A</v>
      </c>
      <c r="I115" s="257" t="e">
        <f t="shared" si="18"/>
        <v>#N/A</v>
      </c>
    </row>
    <row r="116" spans="1:9" ht="12.75" customHeight="1">
      <c r="A116" s="242"/>
      <c r="B116" s="255" t="e">
        <f t="shared" si="14"/>
        <v>#N/A</v>
      </c>
      <c r="C116" s="255" t="str">
        <f t="shared" si="15"/>
        <v/>
      </c>
      <c r="D116" s="255" t="str">
        <f t="shared" si="11"/>
        <v/>
      </c>
      <c r="E116" s="255" t="str">
        <f t="shared" si="12"/>
        <v/>
      </c>
      <c r="F116" s="255" t="str">
        <f t="shared" si="16"/>
        <v/>
      </c>
      <c r="G116" s="255" t="str">
        <f t="shared" si="17"/>
        <v/>
      </c>
      <c r="H116" s="255" t="e">
        <f t="shared" si="13"/>
        <v>#N/A</v>
      </c>
      <c r="I116" s="257" t="e">
        <f t="shared" si="18"/>
        <v>#N/A</v>
      </c>
    </row>
    <row r="117" spans="1:9" ht="12.75" customHeight="1">
      <c r="A117" s="242"/>
      <c r="B117" s="255" t="e">
        <f t="shared" si="14"/>
        <v>#N/A</v>
      </c>
      <c r="C117" s="255" t="str">
        <f t="shared" si="15"/>
        <v/>
      </c>
      <c r="D117" s="255" t="str">
        <f t="shared" si="11"/>
        <v/>
      </c>
      <c r="E117" s="255" t="str">
        <f t="shared" si="12"/>
        <v/>
      </c>
      <c r="F117" s="255" t="str">
        <f t="shared" si="16"/>
        <v/>
      </c>
      <c r="G117" s="255" t="str">
        <f t="shared" si="17"/>
        <v/>
      </c>
      <c r="H117" s="255" t="e">
        <f t="shared" si="13"/>
        <v>#N/A</v>
      </c>
      <c r="I117" s="257" t="e">
        <f t="shared" si="18"/>
        <v>#N/A</v>
      </c>
    </row>
    <row r="118" spans="1:9" ht="12.75" customHeight="1">
      <c r="A118" s="242"/>
      <c r="B118" s="255" t="e">
        <f t="shared" si="14"/>
        <v>#N/A</v>
      </c>
      <c r="C118" s="255" t="str">
        <f t="shared" si="15"/>
        <v/>
      </c>
      <c r="D118" s="255" t="str">
        <f t="shared" si="11"/>
        <v/>
      </c>
      <c r="E118" s="255" t="str">
        <f t="shared" si="12"/>
        <v/>
      </c>
      <c r="F118" s="255" t="str">
        <f t="shared" si="16"/>
        <v/>
      </c>
      <c r="G118" s="255" t="str">
        <f t="shared" si="17"/>
        <v/>
      </c>
      <c r="H118" s="255" t="e">
        <f t="shared" si="13"/>
        <v>#N/A</v>
      </c>
      <c r="I118" s="257" t="e">
        <f t="shared" si="18"/>
        <v>#N/A</v>
      </c>
    </row>
    <row r="119" spans="1:9" ht="12.75" customHeight="1">
      <c r="A119" s="242"/>
      <c r="B119" s="255" t="e">
        <f t="shared" si="14"/>
        <v>#N/A</v>
      </c>
      <c r="C119" s="255" t="str">
        <f t="shared" si="15"/>
        <v/>
      </c>
      <c r="D119" s="255" t="str">
        <f t="shared" si="11"/>
        <v/>
      </c>
      <c r="E119" s="255" t="str">
        <f t="shared" si="12"/>
        <v/>
      </c>
      <c r="F119" s="255" t="str">
        <f t="shared" si="16"/>
        <v/>
      </c>
      <c r="G119" s="255" t="str">
        <f t="shared" si="17"/>
        <v/>
      </c>
      <c r="H119" s="255" t="e">
        <f t="shared" si="13"/>
        <v>#N/A</v>
      </c>
      <c r="I119" s="257" t="e">
        <f t="shared" si="18"/>
        <v>#N/A</v>
      </c>
    </row>
    <row r="120" spans="1:9" ht="12.75" customHeight="1">
      <c r="A120" s="242"/>
      <c r="B120" s="255" t="e">
        <f t="shared" si="14"/>
        <v>#N/A</v>
      </c>
      <c r="C120" s="255" t="str">
        <f t="shared" si="15"/>
        <v/>
      </c>
      <c r="D120" s="255" t="str">
        <f t="shared" si="11"/>
        <v/>
      </c>
      <c r="E120" s="255" t="str">
        <f t="shared" si="12"/>
        <v/>
      </c>
      <c r="F120" s="255" t="str">
        <f t="shared" si="16"/>
        <v/>
      </c>
      <c r="G120" s="255" t="str">
        <f t="shared" si="17"/>
        <v/>
      </c>
      <c r="H120" s="255" t="e">
        <f t="shared" si="13"/>
        <v>#N/A</v>
      </c>
      <c r="I120" s="257" t="e">
        <f t="shared" si="18"/>
        <v>#N/A</v>
      </c>
    </row>
    <row r="121" spans="1:9" ht="12.75" customHeight="1">
      <c r="A121" s="242"/>
      <c r="B121" s="255" t="e">
        <f t="shared" si="14"/>
        <v>#N/A</v>
      </c>
      <c r="C121" s="255" t="str">
        <f t="shared" si="15"/>
        <v/>
      </c>
      <c r="D121" s="255" t="str">
        <f t="shared" si="11"/>
        <v/>
      </c>
      <c r="E121" s="255" t="str">
        <f t="shared" si="12"/>
        <v/>
      </c>
      <c r="F121" s="255" t="str">
        <f t="shared" si="16"/>
        <v/>
      </c>
      <c r="G121" s="255" t="str">
        <f t="shared" si="17"/>
        <v/>
      </c>
      <c r="H121" s="255" t="e">
        <f t="shared" si="13"/>
        <v>#N/A</v>
      </c>
      <c r="I121" s="257" t="e">
        <f t="shared" si="18"/>
        <v>#N/A</v>
      </c>
    </row>
    <row r="122" spans="1:9" ht="12.75" customHeight="1">
      <c r="A122" s="242"/>
      <c r="B122" s="255" t="e">
        <f t="shared" si="14"/>
        <v>#N/A</v>
      </c>
      <c r="C122" s="255" t="str">
        <f t="shared" si="15"/>
        <v/>
      </c>
      <c r="D122" s="255" t="str">
        <f t="shared" si="11"/>
        <v/>
      </c>
      <c r="E122" s="255" t="str">
        <f t="shared" si="12"/>
        <v/>
      </c>
      <c r="F122" s="255" t="str">
        <f t="shared" si="16"/>
        <v/>
      </c>
      <c r="G122" s="255" t="str">
        <f t="shared" si="17"/>
        <v/>
      </c>
      <c r="H122" s="255" t="e">
        <f t="shared" si="13"/>
        <v>#N/A</v>
      </c>
      <c r="I122" s="257" t="e">
        <f t="shared" si="18"/>
        <v>#N/A</v>
      </c>
    </row>
    <row r="123" spans="1:9" ht="12.75" customHeight="1">
      <c r="A123" s="242"/>
      <c r="B123" s="255" t="e">
        <f t="shared" si="14"/>
        <v>#N/A</v>
      </c>
      <c r="C123" s="255" t="str">
        <f t="shared" si="15"/>
        <v/>
      </c>
      <c r="D123" s="255" t="str">
        <f t="shared" si="11"/>
        <v/>
      </c>
      <c r="E123" s="255" t="str">
        <f t="shared" si="12"/>
        <v/>
      </c>
      <c r="F123" s="255" t="str">
        <f t="shared" si="16"/>
        <v/>
      </c>
      <c r="G123" s="255" t="str">
        <f t="shared" si="17"/>
        <v/>
      </c>
      <c r="H123" s="255" t="e">
        <f t="shared" si="13"/>
        <v>#N/A</v>
      </c>
      <c r="I123" s="257" t="e">
        <f t="shared" si="18"/>
        <v>#N/A</v>
      </c>
    </row>
    <row r="124" spans="1:9" ht="12.75" customHeight="1">
      <c r="A124" s="242"/>
      <c r="B124" s="255" t="e">
        <f t="shared" si="14"/>
        <v>#N/A</v>
      </c>
      <c r="C124" s="255" t="str">
        <f t="shared" si="15"/>
        <v/>
      </c>
      <c r="D124" s="255" t="str">
        <f t="shared" si="11"/>
        <v/>
      </c>
      <c r="E124" s="255" t="str">
        <f t="shared" si="12"/>
        <v/>
      </c>
      <c r="F124" s="255" t="str">
        <f t="shared" si="16"/>
        <v/>
      </c>
      <c r="G124" s="255" t="str">
        <f t="shared" si="17"/>
        <v/>
      </c>
      <c r="H124" s="255" t="e">
        <f t="shared" si="13"/>
        <v>#N/A</v>
      </c>
      <c r="I124" s="257" t="e">
        <f t="shared" si="18"/>
        <v>#N/A</v>
      </c>
    </row>
    <row r="125" spans="1:9" ht="12.75" customHeight="1">
      <c r="A125" s="242"/>
      <c r="B125" s="255" t="e">
        <f t="shared" si="14"/>
        <v>#N/A</v>
      </c>
      <c r="C125" s="255" t="str">
        <f t="shared" si="15"/>
        <v/>
      </c>
      <c r="D125" s="255" t="str">
        <f t="shared" si="11"/>
        <v/>
      </c>
      <c r="E125" s="255" t="str">
        <f t="shared" si="12"/>
        <v/>
      </c>
      <c r="F125" s="255" t="str">
        <f t="shared" si="16"/>
        <v/>
      </c>
      <c r="G125" s="255" t="str">
        <f t="shared" si="17"/>
        <v/>
      </c>
      <c r="H125" s="255" t="e">
        <f t="shared" si="13"/>
        <v>#N/A</v>
      </c>
      <c r="I125" s="257" t="e">
        <f t="shared" si="18"/>
        <v>#N/A</v>
      </c>
    </row>
    <row r="126" spans="1:9" ht="12.75" customHeight="1">
      <c r="A126" s="242"/>
      <c r="B126" s="255" t="e">
        <f t="shared" si="14"/>
        <v>#N/A</v>
      </c>
      <c r="C126" s="255" t="str">
        <f t="shared" si="15"/>
        <v/>
      </c>
      <c r="D126" s="255" t="str">
        <f t="shared" si="11"/>
        <v/>
      </c>
      <c r="E126" s="255" t="str">
        <f t="shared" si="12"/>
        <v/>
      </c>
      <c r="F126" s="255" t="str">
        <f t="shared" si="16"/>
        <v/>
      </c>
      <c r="G126" s="255" t="str">
        <f t="shared" si="17"/>
        <v/>
      </c>
      <c r="H126" s="255" t="e">
        <f t="shared" si="13"/>
        <v>#N/A</v>
      </c>
      <c r="I126" s="257" t="e">
        <f t="shared" si="18"/>
        <v>#N/A</v>
      </c>
    </row>
    <row r="127" spans="1:9" ht="12.75" customHeight="1">
      <c r="A127" s="242"/>
      <c r="B127" s="255" t="e">
        <f t="shared" si="14"/>
        <v>#N/A</v>
      </c>
      <c r="C127" s="255" t="str">
        <f t="shared" si="15"/>
        <v/>
      </c>
      <c r="D127" s="255" t="str">
        <f t="shared" si="11"/>
        <v/>
      </c>
      <c r="E127" s="255" t="str">
        <f t="shared" si="12"/>
        <v/>
      </c>
      <c r="F127" s="255" t="str">
        <f t="shared" si="16"/>
        <v/>
      </c>
      <c r="G127" s="255" t="str">
        <f t="shared" si="17"/>
        <v/>
      </c>
      <c r="H127" s="255" t="e">
        <f t="shared" si="13"/>
        <v>#N/A</v>
      </c>
      <c r="I127" s="257" t="e">
        <f t="shared" si="18"/>
        <v>#N/A</v>
      </c>
    </row>
    <row r="128" spans="1:9" ht="12.75" customHeight="1">
      <c r="A128" s="242"/>
      <c r="B128" s="255" t="e">
        <f t="shared" si="14"/>
        <v>#N/A</v>
      </c>
      <c r="C128" s="255" t="str">
        <f t="shared" si="15"/>
        <v/>
      </c>
      <c r="D128" s="255" t="str">
        <f t="shared" si="11"/>
        <v/>
      </c>
      <c r="E128" s="255" t="str">
        <f t="shared" si="12"/>
        <v/>
      </c>
      <c r="F128" s="255" t="str">
        <f t="shared" si="16"/>
        <v/>
      </c>
      <c r="G128" s="255" t="str">
        <f t="shared" si="17"/>
        <v/>
      </c>
      <c r="H128" s="255" t="e">
        <f t="shared" si="13"/>
        <v>#N/A</v>
      </c>
      <c r="I128" s="257" t="e">
        <f t="shared" si="18"/>
        <v>#N/A</v>
      </c>
    </row>
    <row r="129" spans="1:9" ht="12.75" customHeight="1">
      <c r="A129" s="242"/>
      <c r="B129" s="255" t="e">
        <f t="shared" si="14"/>
        <v>#N/A</v>
      </c>
      <c r="C129" s="255" t="str">
        <f t="shared" si="15"/>
        <v/>
      </c>
      <c r="D129" s="255" t="str">
        <f t="shared" si="11"/>
        <v/>
      </c>
      <c r="E129" s="255" t="str">
        <f t="shared" si="12"/>
        <v/>
      </c>
      <c r="F129" s="255" t="str">
        <f t="shared" si="16"/>
        <v/>
      </c>
      <c r="G129" s="255" t="str">
        <f t="shared" si="17"/>
        <v/>
      </c>
      <c r="H129" s="255" t="e">
        <f t="shared" si="13"/>
        <v>#N/A</v>
      </c>
      <c r="I129" s="257" t="e">
        <f t="shared" si="18"/>
        <v>#N/A</v>
      </c>
    </row>
    <row r="130" spans="1:9" ht="12.75" customHeight="1">
      <c r="A130" s="242"/>
      <c r="B130" s="255" t="e">
        <f t="shared" si="14"/>
        <v>#N/A</v>
      </c>
      <c r="C130" s="255" t="str">
        <f t="shared" si="15"/>
        <v/>
      </c>
      <c r="D130" s="255" t="str">
        <f t="shared" si="11"/>
        <v/>
      </c>
      <c r="E130" s="255" t="str">
        <f>IF(ISBLANK(A130),"",1-D130)</f>
        <v/>
      </c>
      <c r="F130" s="255" t="str">
        <f t="shared" si="16"/>
        <v/>
      </c>
      <c r="G130" s="255" t="str">
        <f t="shared" si="17"/>
        <v/>
      </c>
      <c r="H130" s="255" t="e">
        <f t="shared" si="13"/>
        <v>#N/A</v>
      </c>
      <c r="I130" s="257" t="e">
        <f t="shared" si="18"/>
        <v>#N/A</v>
      </c>
    </row>
    <row r="131" spans="1:9" ht="12.75" customHeight="1">
      <c r="A131" s="242"/>
      <c r="B131" s="255" t="e">
        <f t="shared" si="14"/>
        <v>#N/A</v>
      </c>
      <c r="C131" s="255" t="str">
        <f t="shared" si="15"/>
        <v/>
      </c>
      <c r="D131" s="255" t="str">
        <f t="shared" si="11"/>
        <v/>
      </c>
      <c r="E131" s="255" t="str">
        <f>IF(ISBLANK(A131),"",1-D131)</f>
        <v/>
      </c>
      <c r="F131" s="255" t="str">
        <f t="shared" si="16"/>
        <v/>
      </c>
      <c r="G131" s="255" t="str">
        <f t="shared" si="17"/>
        <v/>
      </c>
      <c r="H131" s="255" t="e">
        <f t="shared" si="13"/>
        <v>#N/A</v>
      </c>
      <c r="I131" s="257" t="e">
        <f t="shared" si="18"/>
        <v>#N/A</v>
      </c>
    </row>
    <row r="132" spans="1:9" ht="12.75" customHeight="1">
      <c r="A132" s="242"/>
      <c r="B132" s="255" t="e">
        <f t="shared" si="14"/>
        <v>#N/A</v>
      </c>
      <c r="C132" s="255" t="str">
        <f t="shared" si="15"/>
        <v/>
      </c>
      <c r="D132" s="255" t="str">
        <f t="shared" si="11"/>
        <v/>
      </c>
      <c r="E132" s="255" t="str">
        <f>IF(ISBLANK(A132),"",1-D132)</f>
        <v/>
      </c>
      <c r="F132" s="255" t="str">
        <f t="shared" si="16"/>
        <v/>
      </c>
      <c r="G132" s="255" t="str">
        <f t="shared" si="17"/>
        <v/>
      </c>
      <c r="H132" s="255" t="e">
        <f t="shared" si="13"/>
        <v>#N/A</v>
      </c>
      <c r="I132" s="257" t="e">
        <f t="shared" si="18"/>
        <v>#N/A</v>
      </c>
    </row>
    <row r="133" spans="1:9" ht="12.75" customHeight="1">
      <c r="A133" s="242"/>
      <c r="B133" s="255" t="e">
        <f t="shared" si="14"/>
        <v>#N/A</v>
      </c>
      <c r="C133" s="255" t="str">
        <f t="shared" ref="C133:C196" si="19">IF(ISBLANK(A133),"",C132+1)</f>
        <v/>
      </c>
      <c r="D133" s="255" t="str">
        <f t="shared" ref="D133:D196" si="20">IF(ISBLANK(A133),"",NORMSDIST((B133-$B$24)/$B$25))</f>
        <v/>
      </c>
      <c r="E133" s="255" t="str">
        <f t="shared" ref="E133:E196" si="21">IF(ISBLANK(A133),"",1-D133)</f>
        <v/>
      </c>
      <c r="F133" s="255" t="str">
        <f t="shared" si="16"/>
        <v/>
      </c>
      <c r="G133" s="255" t="str">
        <f t="shared" si="17"/>
        <v/>
      </c>
      <c r="H133" s="255" t="e">
        <f t="shared" ref="H133:H196" si="22">IF(A133="",NA(),NORMINV((C133-3/8)/($B$23+1/4),$B$24,$B$25))</f>
        <v>#N/A</v>
      </c>
      <c r="I133" s="257" t="e">
        <f t="shared" ref="I133:I196" si="23">IF(B133="",NA(),(C133-3/8)/($B$23+1/4))</f>
        <v>#N/A</v>
      </c>
    </row>
    <row r="134" spans="1:9" ht="12.75" customHeight="1">
      <c r="A134" s="242"/>
      <c r="B134" s="255" t="e">
        <f t="shared" si="14"/>
        <v>#N/A</v>
      </c>
      <c r="C134" s="255" t="str">
        <f t="shared" si="19"/>
        <v/>
      </c>
      <c r="D134" s="255" t="str">
        <f t="shared" si="20"/>
        <v/>
      </c>
      <c r="E134" s="255" t="str">
        <f t="shared" si="21"/>
        <v/>
      </c>
      <c r="F134" s="255" t="str">
        <f t="shared" si="16"/>
        <v/>
      </c>
      <c r="G134" s="255" t="str">
        <f t="shared" si="17"/>
        <v/>
      </c>
      <c r="H134" s="255" t="e">
        <f t="shared" si="22"/>
        <v>#N/A</v>
      </c>
      <c r="I134" s="257" t="e">
        <f t="shared" si="23"/>
        <v>#N/A</v>
      </c>
    </row>
    <row r="135" spans="1:9" ht="12.75" customHeight="1">
      <c r="A135" s="242"/>
      <c r="B135" s="255" t="e">
        <f t="shared" si="14"/>
        <v>#N/A</v>
      </c>
      <c r="C135" s="255" t="str">
        <f t="shared" si="19"/>
        <v/>
      </c>
      <c r="D135" s="255" t="str">
        <f t="shared" si="20"/>
        <v/>
      </c>
      <c r="E135" s="255" t="str">
        <f t="shared" si="21"/>
        <v/>
      </c>
      <c r="F135" s="255" t="str">
        <f t="shared" si="16"/>
        <v/>
      </c>
      <c r="G135" s="255" t="str">
        <f t="shared" si="17"/>
        <v/>
      </c>
      <c r="H135" s="255" t="e">
        <f t="shared" si="22"/>
        <v>#N/A</v>
      </c>
      <c r="I135" s="257" t="e">
        <f t="shared" si="23"/>
        <v>#N/A</v>
      </c>
    </row>
    <row r="136" spans="1:9" ht="12.75" customHeight="1">
      <c r="A136" s="242"/>
      <c r="B136" s="255" t="e">
        <f t="shared" si="14"/>
        <v>#N/A</v>
      </c>
      <c r="C136" s="255" t="str">
        <f t="shared" si="19"/>
        <v/>
      </c>
      <c r="D136" s="255" t="str">
        <f t="shared" si="20"/>
        <v/>
      </c>
      <c r="E136" s="255" t="str">
        <f t="shared" si="21"/>
        <v/>
      </c>
      <c r="F136" s="255" t="str">
        <f t="shared" si="16"/>
        <v/>
      </c>
      <c r="G136" s="255" t="str">
        <f t="shared" si="17"/>
        <v/>
      </c>
      <c r="H136" s="255" t="e">
        <f t="shared" si="22"/>
        <v>#N/A</v>
      </c>
      <c r="I136" s="257" t="e">
        <f t="shared" si="23"/>
        <v>#N/A</v>
      </c>
    </row>
    <row r="137" spans="1:9" ht="12.75" customHeight="1">
      <c r="A137" s="242"/>
      <c r="B137" s="255" t="e">
        <f t="shared" si="14"/>
        <v>#N/A</v>
      </c>
      <c r="C137" s="255" t="str">
        <f t="shared" si="19"/>
        <v/>
      </c>
      <c r="D137" s="255" t="str">
        <f t="shared" si="20"/>
        <v/>
      </c>
      <c r="E137" s="255" t="str">
        <f t="shared" si="21"/>
        <v/>
      </c>
      <c r="F137" s="255" t="str">
        <f t="shared" si="16"/>
        <v/>
      </c>
      <c r="G137" s="255" t="str">
        <f t="shared" si="17"/>
        <v/>
      </c>
      <c r="H137" s="255" t="e">
        <f t="shared" si="22"/>
        <v>#N/A</v>
      </c>
      <c r="I137" s="257" t="e">
        <f t="shared" si="23"/>
        <v>#N/A</v>
      </c>
    </row>
    <row r="138" spans="1:9" ht="12.75" customHeight="1">
      <c r="A138" s="242"/>
      <c r="B138" s="255" t="e">
        <f t="shared" si="14"/>
        <v>#N/A</v>
      </c>
      <c r="C138" s="255" t="str">
        <f t="shared" si="19"/>
        <v/>
      </c>
      <c r="D138" s="255" t="str">
        <f t="shared" si="20"/>
        <v/>
      </c>
      <c r="E138" s="255" t="str">
        <f t="shared" si="21"/>
        <v/>
      </c>
      <c r="F138" s="255" t="str">
        <f t="shared" si="16"/>
        <v/>
      </c>
      <c r="G138" s="255" t="str">
        <f t="shared" si="17"/>
        <v/>
      </c>
      <c r="H138" s="255" t="e">
        <f t="shared" si="22"/>
        <v>#N/A</v>
      </c>
      <c r="I138" s="257" t="e">
        <f t="shared" si="23"/>
        <v>#N/A</v>
      </c>
    </row>
    <row r="139" spans="1:9" ht="12.75" customHeight="1">
      <c r="A139" s="242"/>
      <c r="B139" s="255" t="e">
        <f t="shared" si="14"/>
        <v>#N/A</v>
      </c>
      <c r="C139" s="255" t="str">
        <f t="shared" si="19"/>
        <v/>
      </c>
      <c r="D139" s="255" t="str">
        <f t="shared" si="20"/>
        <v/>
      </c>
      <c r="E139" s="255" t="str">
        <f t="shared" si="21"/>
        <v/>
      </c>
      <c r="F139" s="255" t="str">
        <f t="shared" si="16"/>
        <v/>
      </c>
      <c r="G139" s="255" t="str">
        <f t="shared" si="17"/>
        <v/>
      </c>
      <c r="H139" s="255" t="e">
        <f t="shared" si="22"/>
        <v>#N/A</v>
      </c>
      <c r="I139" s="257" t="e">
        <f t="shared" si="23"/>
        <v>#N/A</v>
      </c>
    </row>
    <row r="140" spans="1:9" ht="12.75" customHeight="1">
      <c r="A140" s="242"/>
      <c r="B140" s="255" t="e">
        <f t="shared" si="14"/>
        <v>#N/A</v>
      </c>
      <c r="C140" s="255" t="str">
        <f t="shared" si="19"/>
        <v/>
      </c>
      <c r="D140" s="255" t="str">
        <f t="shared" si="20"/>
        <v/>
      </c>
      <c r="E140" s="255" t="str">
        <f t="shared" si="21"/>
        <v/>
      </c>
      <c r="F140" s="255" t="str">
        <f t="shared" si="16"/>
        <v/>
      </c>
      <c r="G140" s="255" t="str">
        <f t="shared" si="17"/>
        <v/>
      </c>
      <c r="H140" s="255" t="e">
        <f t="shared" si="22"/>
        <v>#N/A</v>
      </c>
      <c r="I140" s="257" t="e">
        <f t="shared" si="23"/>
        <v>#N/A</v>
      </c>
    </row>
    <row r="141" spans="1:9" ht="12.75" customHeight="1">
      <c r="A141" s="242"/>
      <c r="B141" s="255" t="e">
        <f t="shared" si="14"/>
        <v>#N/A</v>
      </c>
      <c r="C141" s="255" t="str">
        <f t="shared" si="19"/>
        <v/>
      </c>
      <c r="D141" s="255" t="str">
        <f t="shared" si="20"/>
        <v/>
      </c>
      <c r="E141" s="255" t="str">
        <f t="shared" si="21"/>
        <v/>
      </c>
      <c r="F141" s="255" t="str">
        <f t="shared" si="16"/>
        <v/>
      </c>
      <c r="G141" s="255" t="str">
        <f t="shared" si="17"/>
        <v/>
      </c>
      <c r="H141" s="255" t="e">
        <f t="shared" si="22"/>
        <v>#N/A</v>
      </c>
      <c r="I141" s="257" t="e">
        <f t="shared" si="23"/>
        <v>#N/A</v>
      </c>
    </row>
    <row r="142" spans="1:9" ht="12.75" customHeight="1">
      <c r="A142" s="242"/>
      <c r="B142" s="255" t="e">
        <f t="shared" si="14"/>
        <v>#N/A</v>
      </c>
      <c r="C142" s="255" t="str">
        <f t="shared" si="19"/>
        <v/>
      </c>
      <c r="D142" s="255" t="str">
        <f t="shared" si="20"/>
        <v/>
      </c>
      <c r="E142" s="255" t="str">
        <f t="shared" si="21"/>
        <v/>
      </c>
      <c r="F142" s="255" t="str">
        <f t="shared" si="16"/>
        <v/>
      </c>
      <c r="G142" s="255" t="str">
        <f t="shared" si="17"/>
        <v/>
      </c>
      <c r="H142" s="255" t="e">
        <f t="shared" si="22"/>
        <v>#N/A</v>
      </c>
      <c r="I142" s="257" t="e">
        <f t="shared" si="23"/>
        <v>#N/A</v>
      </c>
    </row>
    <row r="143" spans="1:9" ht="12.75" customHeight="1">
      <c r="A143" s="242"/>
      <c r="B143" s="255" t="e">
        <f t="shared" si="14"/>
        <v>#N/A</v>
      </c>
      <c r="C143" s="255" t="str">
        <f t="shared" si="19"/>
        <v/>
      </c>
      <c r="D143" s="255" t="str">
        <f t="shared" si="20"/>
        <v/>
      </c>
      <c r="E143" s="255" t="str">
        <f t="shared" si="21"/>
        <v/>
      </c>
      <c r="F143" s="255" t="str">
        <f t="shared" si="16"/>
        <v/>
      </c>
      <c r="G143" s="255" t="str">
        <f t="shared" si="17"/>
        <v/>
      </c>
      <c r="H143" s="255" t="e">
        <f t="shared" si="22"/>
        <v>#N/A</v>
      </c>
      <c r="I143" s="257" t="e">
        <f t="shared" si="23"/>
        <v>#N/A</v>
      </c>
    </row>
    <row r="144" spans="1:9" ht="12.75" customHeight="1">
      <c r="A144" s="242"/>
      <c r="B144" s="255" t="e">
        <f t="shared" si="14"/>
        <v>#N/A</v>
      </c>
      <c r="C144" s="255" t="str">
        <f t="shared" si="19"/>
        <v/>
      </c>
      <c r="D144" s="255" t="str">
        <f t="shared" si="20"/>
        <v/>
      </c>
      <c r="E144" s="255" t="str">
        <f t="shared" si="21"/>
        <v/>
      </c>
      <c r="F144" s="255" t="str">
        <f t="shared" si="16"/>
        <v/>
      </c>
      <c r="G144" s="255" t="str">
        <f t="shared" si="17"/>
        <v/>
      </c>
      <c r="H144" s="255" t="e">
        <f t="shared" si="22"/>
        <v>#N/A</v>
      </c>
      <c r="I144" s="257" t="e">
        <f t="shared" si="23"/>
        <v>#N/A</v>
      </c>
    </row>
    <row r="145" spans="1:9" ht="12.75" customHeight="1">
      <c r="A145" s="242"/>
      <c r="B145" s="255" t="e">
        <f t="shared" si="14"/>
        <v>#N/A</v>
      </c>
      <c r="C145" s="255" t="str">
        <f t="shared" si="19"/>
        <v/>
      </c>
      <c r="D145" s="255" t="str">
        <f t="shared" si="20"/>
        <v/>
      </c>
      <c r="E145" s="255" t="str">
        <f t="shared" si="21"/>
        <v/>
      </c>
      <c r="F145" s="255" t="str">
        <f t="shared" si="16"/>
        <v/>
      </c>
      <c r="G145" s="255" t="str">
        <f t="shared" si="17"/>
        <v/>
      </c>
      <c r="H145" s="255" t="e">
        <f t="shared" si="22"/>
        <v>#N/A</v>
      </c>
      <c r="I145" s="257" t="e">
        <f t="shared" si="23"/>
        <v>#N/A</v>
      </c>
    </row>
    <row r="146" spans="1:9" ht="12.75" customHeight="1">
      <c r="A146" s="242"/>
      <c r="B146" s="255" t="e">
        <f t="shared" si="14"/>
        <v>#N/A</v>
      </c>
      <c r="C146" s="255" t="str">
        <f t="shared" si="19"/>
        <v/>
      </c>
      <c r="D146" s="255" t="str">
        <f t="shared" si="20"/>
        <v/>
      </c>
      <c r="E146" s="255" t="str">
        <f t="shared" si="21"/>
        <v/>
      </c>
      <c r="F146" s="255" t="str">
        <f t="shared" si="16"/>
        <v/>
      </c>
      <c r="G146" s="255" t="str">
        <f t="shared" si="17"/>
        <v/>
      </c>
      <c r="H146" s="255" t="e">
        <f t="shared" si="22"/>
        <v>#N/A</v>
      </c>
      <c r="I146" s="257" t="e">
        <f t="shared" si="23"/>
        <v>#N/A</v>
      </c>
    </row>
    <row r="147" spans="1:9" ht="12.75" customHeight="1">
      <c r="A147" s="242"/>
      <c r="B147" s="255" t="e">
        <f t="shared" si="14"/>
        <v>#N/A</v>
      </c>
      <c r="C147" s="255" t="str">
        <f t="shared" si="19"/>
        <v/>
      </c>
      <c r="D147" s="255" t="str">
        <f t="shared" si="20"/>
        <v/>
      </c>
      <c r="E147" s="255" t="str">
        <f t="shared" si="21"/>
        <v/>
      </c>
      <c r="F147" s="255" t="str">
        <f t="shared" si="16"/>
        <v/>
      </c>
      <c r="G147" s="255" t="str">
        <f t="shared" si="17"/>
        <v/>
      </c>
      <c r="H147" s="255" t="e">
        <f t="shared" si="22"/>
        <v>#N/A</v>
      </c>
      <c r="I147" s="257" t="e">
        <f t="shared" si="23"/>
        <v>#N/A</v>
      </c>
    </row>
    <row r="148" spans="1:9" ht="12.75" customHeight="1">
      <c r="A148" s="242"/>
      <c r="B148" s="255" t="e">
        <f t="shared" si="14"/>
        <v>#N/A</v>
      </c>
      <c r="C148" s="255" t="str">
        <f t="shared" si="19"/>
        <v/>
      </c>
      <c r="D148" s="255" t="str">
        <f t="shared" si="20"/>
        <v/>
      </c>
      <c r="E148" s="255" t="str">
        <f t="shared" si="21"/>
        <v/>
      </c>
      <c r="F148" s="255" t="str">
        <f t="shared" si="16"/>
        <v/>
      </c>
      <c r="G148" s="255" t="str">
        <f t="shared" si="17"/>
        <v/>
      </c>
      <c r="H148" s="255" t="e">
        <f t="shared" si="22"/>
        <v>#N/A</v>
      </c>
      <c r="I148" s="257" t="e">
        <f t="shared" si="23"/>
        <v>#N/A</v>
      </c>
    </row>
    <row r="149" spans="1:9" ht="12.75" customHeight="1">
      <c r="A149" s="242"/>
      <c r="B149" s="255" t="e">
        <f t="shared" si="14"/>
        <v>#N/A</v>
      </c>
      <c r="C149" s="255" t="str">
        <f t="shared" si="19"/>
        <v/>
      </c>
      <c r="D149" s="255" t="str">
        <f t="shared" si="20"/>
        <v/>
      </c>
      <c r="E149" s="255" t="str">
        <f t="shared" si="21"/>
        <v/>
      </c>
      <c r="F149" s="255" t="str">
        <f t="shared" si="16"/>
        <v/>
      </c>
      <c r="G149" s="255" t="str">
        <f t="shared" si="17"/>
        <v/>
      </c>
      <c r="H149" s="255" t="e">
        <f t="shared" si="22"/>
        <v>#N/A</v>
      </c>
      <c r="I149" s="257" t="e">
        <f t="shared" si="23"/>
        <v>#N/A</v>
      </c>
    </row>
    <row r="150" spans="1:9" ht="12.75" customHeight="1">
      <c r="A150" s="242"/>
      <c r="B150" s="255" t="e">
        <f t="shared" si="14"/>
        <v>#N/A</v>
      </c>
      <c r="C150" s="255" t="str">
        <f t="shared" si="19"/>
        <v/>
      </c>
      <c r="D150" s="255" t="str">
        <f t="shared" si="20"/>
        <v/>
      </c>
      <c r="E150" s="255" t="str">
        <f t="shared" si="21"/>
        <v/>
      </c>
      <c r="F150" s="255" t="str">
        <f t="shared" si="16"/>
        <v/>
      </c>
      <c r="G150" s="255" t="str">
        <f t="shared" si="17"/>
        <v/>
      </c>
      <c r="H150" s="255" t="e">
        <f t="shared" si="22"/>
        <v>#N/A</v>
      </c>
      <c r="I150" s="257" t="e">
        <f t="shared" si="23"/>
        <v>#N/A</v>
      </c>
    </row>
    <row r="151" spans="1:9" ht="12.75" customHeight="1">
      <c r="A151" s="242"/>
      <c r="B151" s="255" t="e">
        <f t="shared" si="14"/>
        <v>#N/A</v>
      </c>
      <c r="C151" s="255" t="str">
        <f t="shared" si="19"/>
        <v/>
      </c>
      <c r="D151" s="255" t="str">
        <f t="shared" si="20"/>
        <v/>
      </c>
      <c r="E151" s="255" t="str">
        <f t="shared" si="21"/>
        <v/>
      </c>
      <c r="F151" s="255" t="str">
        <f t="shared" si="16"/>
        <v/>
      </c>
      <c r="G151" s="255" t="str">
        <f t="shared" si="17"/>
        <v/>
      </c>
      <c r="H151" s="255" t="e">
        <f t="shared" si="22"/>
        <v>#N/A</v>
      </c>
      <c r="I151" s="257" t="e">
        <f t="shared" si="23"/>
        <v>#N/A</v>
      </c>
    </row>
    <row r="152" spans="1:9" ht="12.75" customHeight="1">
      <c r="A152" s="242"/>
      <c r="B152" s="255" t="e">
        <f t="shared" si="14"/>
        <v>#N/A</v>
      </c>
      <c r="C152" s="255" t="str">
        <f t="shared" si="19"/>
        <v/>
      </c>
      <c r="D152" s="255" t="str">
        <f t="shared" si="20"/>
        <v/>
      </c>
      <c r="E152" s="255" t="str">
        <f t="shared" si="21"/>
        <v/>
      </c>
      <c r="F152" s="255" t="str">
        <f t="shared" si="16"/>
        <v/>
      </c>
      <c r="G152" s="255" t="str">
        <f t="shared" si="17"/>
        <v/>
      </c>
      <c r="H152" s="255" t="e">
        <f t="shared" si="22"/>
        <v>#N/A</v>
      </c>
      <c r="I152" s="257" t="e">
        <f t="shared" si="23"/>
        <v>#N/A</v>
      </c>
    </row>
    <row r="153" spans="1:9" ht="12.75" customHeight="1">
      <c r="A153" s="242"/>
      <c r="B153" s="255" t="e">
        <f t="shared" si="14"/>
        <v>#N/A</v>
      </c>
      <c r="C153" s="255" t="str">
        <f t="shared" si="19"/>
        <v/>
      </c>
      <c r="D153" s="255" t="str">
        <f t="shared" si="20"/>
        <v/>
      </c>
      <c r="E153" s="255" t="str">
        <f t="shared" si="21"/>
        <v/>
      </c>
      <c r="F153" s="255" t="str">
        <f t="shared" si="16"/>
        <v/>
      </c>
      <c r="G153" s="255" t="str">
        <f t="shared" si="17"/>
        <v/>
      </c>
      <c r="H153" s="255" t="e">
        <f t="shared" si="22"/>
        <v>#N/A</v>
      </c>
      <c r="I153" s="257" t="e">
        <f t="shared" si="23"/>
        <v>#N/A</v>
      </c>
    </row>
    <row r="154" spans="1:9" ht="12.75" customHeight="1">
      <c r="A154" s="242"/>
      <c r="B154" s="255" t="e">
        <f t="shared" si="14"/>
        <v>#N/A</v>
      </c>
      <c r="C154" s="255" t="str">
        <f t="shared" si="19"/>
        <v/>
      </c>
      <c r="D154" s="255" t="str">
        <f t="shared" si="20"/>
        <v/>
      </c>
      <c r="E154" s="255" t="str">
        <f t="shared" si="21"/>
        <v/>
      </c>
      <c r="F154" s="255" t="str">
        <f t="shared" si="16"/>
        <v/>
      </c>
      <c r="G154" s="255" t="str">
        <f t="shared" si="17"/>
        <v/>
      </c>
      <c r="H154" s="255" t="e">
        <f t="shared" si="22"/>
        <v>#N/A</v>
      </c>
      <c r="I154" s="257" t="e">
        <f t="shared" si="23"/>
        <v>#N/A</v>
      </c>
    </row>
    <row r="155" spans="1:9" ht="12.75" customHeight="1">
      <c r="A155" s="242"/>
      <c r="B155" s="255" t="e">
        <f t="shared" si="14"/>
        <v>#N/A</v>
      </c>
      <c r="C155" s="255" t="str">
        <f t="shared" si="19"/>
        <v/>
      </c>
      <c r="D155" s="255" t="str">
        <f t="shared" si="20"/>
        <v/>
      </c>
      <c r="E155" s="255" t="str">
        <f t="shared" si="21"/>
        <v/>
      </c>
      <c r="F155" s="255" t="str">
        <f t="shared" si="16"/>
        <v/>
      </c>
      <c r="G155" s="255" t="str">
        <f t="shared" si="17"/>
        <v/>
      </c>
      <c r="H155" s="255" t="e">
        <f t="shared" si="22"/>
        <v>#N/A</v>
      </c>
      <c r="I155" s="257" t="e">
        <f t="shared" si="23"/>
        <v>#N/A</v>
      </c>
    </row>
    <row r="156" spans="1:9" ht="12.75" customHeight="1">
      <c r="A156" s="242"/>
      <c r="B156" s="255" t="e">
        <f t="shared" si="14"/>
        <v>#N/A</v>
      </c>
      <c r="C156" s="255" t="str">
        <f t="shared" si="19"/>
        <v/>
      </c>
      <c r="D156" s="255" t="str">
        <f t="shared" si="20"/>
        <v/>
      </c>
      <c r="E156" s="255" t="str">
        <f t="shared" si="21"/>
        <v/>
      </c>
      <c r="F156" s="255" t="str">
        <f t="shared" si="16"/>
        <v/>
      </c>
      <c r="G156" s="255" t="str">
        <f t="shared" si="17"/>
        <v/>
      </c>
      <c r="H156" s="255" t="e">
        <f t="shared" si="22"/>
        <v>#N/A</v>
      </c>
      <c r="I156" s="257" t="e">
        <f t="shared" si="23"/>
        <v>#N/A</v>
      </c>
    </row>
    <row r="157" spans="1:9" ht="12.75" customHeight="1">
      <c r="A157" s="242"/>
      <c r="B157" s="255" t="e">
        <f t="shared" si="14"/>
        <v>#N/A</v>
      </c>
      <c r="C157" s="255" t="str">
        <f t="shared" si="19"/>
        <v/>
      </c>
      <c r="D157" s="255" t="str">
        <f t="shared" si="20"/>
        <v/>
      </c>
      <c r="E157" s="255" t="str">
        <f t="shared" si="21"/>
        <v/>
      </c>
      <c r="F157" s="255" t="str">
        <f t="shared" si="16"/>
        <v/>
      </c>
      <c r="G157" s="255" t="str">
        <f t="shared" si="17"/>
        <v/>
      </c>
      <c r="H157" s="255" t="e">
        <f t="shared" si="22"/>
        <v>#N/A</v>
      </c>
      <c r="I157" s="257" t="e">
        <f t="shared" si="23"/>
        <v>#N/A</v>
      </c>
    </row>
    <row r="158" spans="1:9" ht="12.75" customHeight="1">
      <c r="A158" s="242"/>
      <c r="B158" s="255" t="e">
        <f t="shared" si="14"/>
        <v>#N/A</v>
      </c>
      <c r="C158" s="255" t="str">
        <f t="shared" si="19"/>
        <v/>
      </c>
      <c r="D158" s="255" t="str">
        <f t="shared" si="20"/>
        <v/>
      </c>
      <c r="E158" s="255" t="str">
        <f t="shared" si="21"/>
        <v/>
      </c>
      <c r="F158" s="255" t="str">
        <f t="shared" si="16"/>
        <v/>
      </c>
      <c r="G158" s="255" t="str">
        <f t="shared" si="17"/>
        <v/>
      </c>
      <c r="H158" s="255" t="e">
        <f t="shared" si="22"/>
        <v>#N/A</v>
      </c>
      <c r="I158" s="257" t="e">
        <f t="shared" si="23"/>
        <v>#N/A</v>
      </c>
    </row>
    <row r="159" spans="1:9" ht="12.75" customHeight="1">
      <c r="A159" s="242"/>
      <c r="B159" s="255" t="e">
        <f t="shared" si="14"/>
        <v>#N/A</v>
      </c>
      <c r="C159" s="255" t="str">
        <f t="shared" si="19"/>
        <v/>
      </c>
      <c r="D159" s="255" t="str">
        <f t="shared" si="20"/>
        <v/>
      </c>
      <c r="E159" s="255" t="str">
        <f t="shared" si="21"/>
        <v/>
      </c>
      <c r="F159" s="255" t="str">
        <f t="shared" si="16"/>
        <v/>
      </c>
      <c r="G159" s="255" t="str">
        <f t="shared" si="17"/>
        <v/>
      </c>
      <c r="H159" s="255" t="e">
        <f t="shared" si="22"/>
        <v>#N/A</v>
      </c>
      <c r="I159" s="257" t="e">
        <f t="shared" si="23"/>
        <v>#N/A</v>
      </c>
    </row>
    <row r="160" spans="1:9" ht="12.75" customHeight="1">
      <c r="A160" s="242"/>
      <c r="B160" s="255" t="e">
        <f t="shared" si="14"/>
        <v>#N/A</v>
      </c>
      <c r="C160" s="255" t="str">
        <f t="shared" si="19"/>
        <v/>
      </c>
      <c r="D160" s="255" t="str">
        <f t="shared" si="20"/>
        <v/>
      </c>
      <c r="E160" s="255" t="str">
        <f t="shared" si="21"/>
        <v/>
      </c>
      <c r="F160" s="255" t="str">
        <f t="shared" si="16"/>
        <v/>
      </c>
      <c r="G160" s="255" t="str">
        <f t="shared" si="17"/>
        <v/>
      </c>
      <c r="H160" s="255" t="e">
        <f t="shared" si="22"/>
        <v>#N/A</v>
      </c>
      <c r="I160" s="257" t="e">
        <f t="shared" si="23"/>
        <v>#N/A</v>
      </c>
    </row>
    <row r="161" spans="1:9" ht="12.75" customHeight="1">
      <c r="A161" s="242"/>
      <c r="B161" s="255" t="e">
        <f t="shared" si="14"/>
        <v>#N/A</v>
      </c>
      <c r="C161" s="255" t="str">
        <f t="shared" si="19"/>
        <v/>
      </c>
      <c r="D161" s="255" t="str">
        <f t="shared" si="20"/>
        <v/>
      </c>
      <c r="E161" s="255" t="str">
        <f t="shared" si="21"/>
        <v/>
      </c>
      <c r="F161" s="255" t="str">
        <f t="shared" si="16"/>
        <v/>
      </c>
      <c r="G161" s="255" t="str">
        <f t="shared" si="17"/>
        <v/>
      </c>
      <c r="H161" s="255" t="e">
        <f t="shared" si="22"/>
        <v>#N/A</v>
      </c>
      <c r="I161" s="257" t="e">
        <f t="shared" si="23"/>
        <v>#N/A</v>
      </c>
    </row>
    <row r="162" spans="1:9" ht="12.75" customHeight="1">
      <c r="A162" s="242"/>
      <c r="B162" s="255" t="e">
        <f t="shared" si="14"/>
        <v>#N/A</v>
      </c>
      <c r="C162" s="255" t="str">
        <f t="shared" si="19"/>
        <v/>
      </c>
      <c r="D162" s="255" t="str">
        <f t="shared" si="20"/>
        <v/>
      </c>
      <c r="E162" s="255" t="str">
        <f t="shared" si="21"/>
        <v/>
      </c>
      <c r="F162" s="255" t="str">
        <f t="shared" si="16"/>
        <v/>
      </c>
      <c r="G162" s="255" t="str">
        <f t="shared" si="17"/>
        <v/>
      </c>
      <c r="H162" s="255" t="e">
        <f t="shared" si="22"/>
        <v>#N/A</v>
      </c>
      <c r="I162" s="257" t="e">
        <f t="shared" si="23"/>
        <v>#N/A</v>
      </c>
    </row>
    <row r="163" spans="1:9" ht="12.75" customHeight="1">
      <c r="A163" s="242"/>
      <c r="B163" s="255" t="e">
        <f t="shared" ref="B163:B226" si="24">IF(ISBLANK(A163),NA(),SMALL(A$34:A$533,C163))</f>
        <v>#N/A</v>
      </c>
      <c r="C163" s="255" t="str">
        <f t="shared" si="19"/>
        <v/>
      </c>
      <c r="D163" s="255" t="str">
        <f t="shared" si="20"/>
        <v/>
      </c>
      <c r="E163" s="255" t="str">
        <f t="shared" si="21"/>
        <v/>
      </c>
      <c r="F163" s="255" t="str">
        <f t="shared" ref="F163:F226" si="25">IF(ISBLANK(A163),"",SMALL($E$34:$E$533,C163))</f>
        <v/>
      </c>
      <c r="G163" s="255" t="str">
        <f t="shared" ref="G163:G226" si="26">IF(ISBLANK(A163),"",(2*C163-1)*(LN(F163)+LN(D163)))</f>
        <v/>
      </c>
      <c r="H163" s="255" t="e">
        <f t="shared" si="22"/>
        <v>#N/A</v>
      </c>
      <c r="I163" s="257" t="e">
        <f t="shared" si="23"/>
        <v>#N/A</v>
      </c>
    </row>
    <row r="164" spans="1:9" ht="12.75" customHeight="1">
      <c r="A164" s="242"/>
      <c r="B164" s="255" t="e">
        <f t="shared" si="24"/>
        <v>#N/A</v>
      </c>
      <c r="C164" s="255" t="str">
        <f t="shared" si="19"/>
        <v/>
      </c>
      <c r="D164" s="255" t="str">
        <f t="shared" si="20"/>
        <v/>
      </c>
      <c r="E164" s="255" t="str">
        <f t="shared" si="21"/>
        <v/>
      </c>
      <c r="F164" s="255" t="str">
        <f t="shared" si="25"/>
        <v/>
      </c>
      <c r="G164" s="255" t="str">
        <f t="shared" si="26"/>
        <v/>
      </c>
      <c r="H164" s="255" t="e">
        <f t="shared" si="22"/>
        <v>#N/A</v>
      </c>
      <c r="I164" s="257" t="e">
        <f t="shared" si="23"/>
        <v>#N/A</v>
      </c>
    </row>
    <row r="165" spans="1:9" ht="12.75" customHeight="1">
      <c r="A165" s="242"/>
      <c r="B165" s="255" t="e">
        <f t="shared" si="24"/>
        <v>#N/A</v>
      </c>
      <c r="C165" s="255" t="str">
        <f t="shared" si="19"/>
        <v/>
      </c>
      <c r="D165" s="255" t="str">
        <f t="shared" si="20"/>
        <v/>
      </c>
      <c r="E165" s="255" t="str">
        <f t="shared" si="21"/>
        <v/>
      </c>
      <c r="F165" s="255" t="str">
        <f t="shared" si="25"/>
        <v/>
      </c>
      <c r="G165" s="255" t="str">
        <f t="shared" si="26"/>
        <v/>
      </c>
      <c r="H165" s="255" t="e">
        <f t="shared" si="22"/>
        <v>#N/A</v>
      </c>
      <c r="I165" s="257" t="e">
        <f t="shared" si="23"/>
        <v>#N/A</v>
      </c>
    </row>
    <row r="166" spans="1:9" ht="12.75" customHeight="1">
      <c r="A166" s="242"/>
      <c r="B166" s="255" t="e">
        <f t="shared" si="24"/>
        <v>#N/A</v>
      </c>
      <c r="C166" s="255" t="str">
        <f t="shared" si="19"/>
        <v/>
      </c>
      <c r="D166" s="255" t="str">
        <f t="shared" si="20"/>
        <v/>
      </c>
      <c r="E166" s="255" t="str">
        <f t="shared" si="21"/>
        <v/>
      </c>
      <c r="F166" s="255" t="str">
        <f t="shared" si="25"/>
        <v/>
      </c>
      <c r="G166" s="255" t="str">
        <f t="shared" si="26"/>
        <v/>
      </c>
      <c r="H166" s="255" t="e">
        <f t="shared" si="22"/>
        <v>#N/A</v>
      </c>
      <c r="I166" s="257" t="e">
        <f t="shared" si="23"/>
        <v>#N/A</v>
      </c>
    </row>
    <row r="167" spans="1:9" ht="12.75" customHeight="1">
      <c r="A167" s="242"/>
      <c r="B167" s="255" t="e">
        <f t="shared" si="24"/>
        <v>#N/A</v>
      </c>
      <c r="C167" s="255" t="str">
        <f t="shared" si="19"/>
        <v/>
      </c>
      <c r="D167" s="255" t="str">
        <f t="shared" si="20"/>
        <v/>
      </c>
      <c r="E167" s="255" t="str">
        <f t="shared" si="21"/>
        <v/>
      </c>
      <c r="F167" s="255" t="str">
        <f t="shared" si="25"/>
        <v/>
      </c>
      <c r="G167" s="255" t="str">
        <f t="shared" si="26"/>
        <v/>
      </c>
      <c r="H167" s="255" t="e">
        <f t="shared" si="22"/>
        <v>#N/A</v>
      </c>
      <c r="I167" s="257" t="e">
        <f t="shared" si="23"/>
        <v>#N/A</v>
      </c>
    </row>
    <row r="168" spans="1:9" ht="12.75" customHeight="1">
      <c r="A168" s="242"/>
      <c r="B168" s="255" t="e">
        <f t="shared" si="24"/>
        <v>#N/A</v>
      </c>
      <c r="C168" s="255" t="str">
        <f t="shared" si="19"/>
        <v/>
      </c>
      <c r="D168" s="255" t="str">
        <f t="shared" si="20"/>
        <v/>
      </c>
      <c r="E168" s="255" t="str">
        <f t="shared" si="21"/>
        <v/>
      </c>
      <c r="F168" s="255" t="str">
        <f t="shared" si="25"/>
        <v/>
      </c>
      <c r="G168" s="255" t="str">
        <f t="shared" si="26"/>
        <v/>
      </c>
      <c r="H168" s="255" t="e">
        <f t="shared" si="22"/>
        <v>#N/A</v>
      </c>
      <c r="I168" s="257" t="e">
        <f t="shared" si="23"/>
        <v>#N/A</v>
      </c>
    </row>
    <row r="169" spans="1:9" ht="12.75" customHeight="1">
      <c r="A169" s="242"/>
      <c r="B169" s="255" t="e">
        <f t="shared" si="24"/>
        <v>#N/A</v>
      </c>
      <c r="C169" s="255" t="str">
        <f t="shared" si="19"/>
        <v/>
      </c>
      <c r="D169" s="255" t="str">
        <f t="shared" si="20"/>
        <v/>
      </c>
      <c r="E169" s="255" t="str">
        <f t="shared" si="21"/>
        <v/>
      </c>
      <c r="F169" s="255" t="str">
        <f t="shared" si="25"/>
        <v/>
      </c>
      <c r="G169" s="255" t="str">
        <f t="shared" si="26"/>
        <v/>
      </c>
      <c r="H169" s="255" t="e">
        <f t="shared" si="22"/>
        <v>#N/A</v>
      </c>
      <c r="I169" s="257" t="e">
        <f t="shared" si="23"/>
        <v>#N/A</v>
      </c>
    </row>
    <row r="170" spans="1:9" ht="12.75" customHeight="1">
      <c r="A170" s="242"/>
      <c r="B170" s="255" t="e">
        <f t="shared" si="24"/>
        <v>#N/A</v>
      </c>
      <c r="C170" s="255" t="str">
        <f t="shared" si="19"/>
        <v/>
      </c>
      <c r="D170" s="255" t="str">
        <f t="shared" si="20"/>
        <v/>
      </c>
      <c r="E170" s="255" t="str">
        <f t="shared" si="21"/>
        <v/>
      </c>
      <c r="F170" s="255" t="str">
        <f t="shared" si="25"/>
        <v/>
      </c>
      <c r="G170" s="255" t="str">
        <f t="shared" si="26"/>
        <v/>
      </c>
      <c r="H170" s="255" t="e">
        <f t="shared" si="22"/>
        <v>#N/A</v>
      </c>
      <c r="I170" s="257" t="e">
        <f t="shared" si="23"/>
        <v>#N/A</v>
      </c>
    </row>
    <row r="171" spans="1:9" ht="12.75" customHeight="1">
      <c r="A171" s="242"/>
      <c r="B171" s="255" t="e">
        <f t="shared" si="24"/>
        <v>#N/A</v>
      </c>
      <c r="C171" s="255" t="str">
        <f t="shared" si="19"/>
        <v/>
      </c>
      <c r="D171" s="255" t="str">
        <f t="shared" si="20"/>
        <v/>
      </c>
      <c r="E171" s="255" t="str">
        <f t="shared" si="21"/>
        <v/>
      </c>
      <c r="F171" s="255" t="str">
        <f t="shared" si="25"/>
        <v/>
      </c>
      <c r="G171" s="255" t="str">
        <f t="shared" si="26"/>
        <v/>
      </c>
      <c r="H171" s="255" t="e">
        <f t="shared" si="22"/>
        <v>#N/A</v>
      </c>
      <c r="I171" s="257" t="e">
        <f t="shared" si="23"/>
        <v>#N/A</v>
      </c>
    </row>
    <row r="172" spans="1:9" ht="12.75" customHeight="1">
      <c r="A172" s="242"/>
      <c r="B172" s="255" t="e">
        <f t="shared" si="24"/>
        <v>#N/A</v>
      </c>
      <c r="C172" s="255" t="str">
        <f t="shared" si="19"/>
        <v/>
      </c>
      <c r="D172" s="255" t="str">
        <f t="shared" si="20"/>
        <v/>
      </c>
      <c r="E172" s="255" t="str">
        <f t="shared" si="21"/>
        <v/>
      </c>
      <c r="F172" s="255" t="str">
        <f t="shared" si="25"/>
        <v/>
      </c>
      <c r="G172" s="255" t="str">
        <f t="shared" si="26"/>
        <v/>
      </c>
      <c r="H172" s="255" t="e">
        <f t="shared" si="22"/>
        <v>#N/A</v>
      </c>
      <c r="I172" s="257" t="e">
        <f t="shared" si="23"/>
        <v>#N/A</v>
      </c>
    </row>
    <row r="173" spans="1:9" ht="12.75" customHeight="1">
      <c r="A173" s="242"/>
      <c r="B173" s="255" t="e">
        <f t="shared" si="24"/>
        <v>#N/A</v>
      </c>
      <c r="C173" s="255" t="str">
        <f t="shared" si="19"/>
        <v/>
      </c>
      <c r="D173" s="255" t="str">
        <f t="shared" si="20"/>
        <v/>
      </c>
      <c r="E173" s="255" t="str">
        <f t="shared" si="21"/>
        <v/>
      </c>
      <c r="F173" s="255" t="str">
        <f t="shared" si="25"/>
        <v/>
      </c>
      <c r="G173" s="255" t="str">
        <f t="shared" si="26"/>
        <v/>
      </c>
      <c r="H173" s="255" t="e">
        <f t="shared" si="22"/>
        <v>#N/A</v>
      </c>
      <c r="I173" s="257" t="e">
        <f t="shared" si="23"/>
        <v>#N/A</v>
      </c>
    </row>
    <row r="174" spans="1:9" ht="12.75" customHeight="1">
      <c r="A174" s="242"/>
      <c r="B174" s="255" t="e">
        <f t="shared" si="24"/>
        <v>#N/A</v>
      </c>
      <c r="C174" s="255" t="str">
        <f t="shared" si="19"/>
        <v/>
      </c>
      <c r="D174" s="255" t="str">
        <f t="shared" si="20"/>
        <v/>
      </c>
      <c r="E174" s="255" t="str">
        <f t="shared" si="21"/>
        <v/>
      </c>
      <c r="F174" s="255" t="str">
        <f t="shared" si="25"/>
        <v/>
      </c>
      <c r="G174" s="255" t="str">
        <f t="shared" si="26"/>
        <v/>
      </c>
      <c r="H174" s="255" t="e">
        <f t="shared" si="22"/>
        <v>#N/A</v>
      </c>
      <c r="I174" s="257" t="e">
        <f t="shared" si="23"/>
        <v>#N/A</v>
      </c>
    </row>
    <row r="175" spans="1:9" ht="12.75" customHeight="1">
      <c r="A175" s="242"/>
      <c r="B175" s="255" t="e">
        <f t="shared" si="24"/>
        <v>#N/A</v>
      </c>
      <c r="C175" s="255" t="str">
        <f t="shared" si="19"/>
        <v/>
      </c>
      <c r="D175" s="255" t="str">
        <f t="shared" si="20"/>
        <v/>
      </c>
      <c r="E175" s="255" t="str">
        <f t="shared" si="21"/>
        <v/>
      </c>
      <c r="F175" s="255" t="str">
        <f t="shared" si="25"/>
        <v/>
      </c>
      <c r="G175" s="255" t="str">
        <f t="shared" si="26"/>
        <v/>
      </c>
      <c r="H175" s="255" t="e">
        <f t="shared" si="22"/>
        <v>#N/A</v>
      </c>
      <c r="I175" s="257" t="e">
        <f t="shared" si="23"/>
        <v>#N/A</v>
      </c>
    </row>
    <row r="176" spans="1:9" ht="12.75" customHeight="1">
      <c r="A176" s="242"/>
      <c r="B176" s="255" t="e">
        <f t="shared" si="24"/>
        <v>#N/A</v>
      </c>
      <c r="C176" s="255" t="str">
        <f t="shared" si="19"/>
        <v/>
      </c>
      <c r="D176" s="255" t="str">
        <f t="shared" si="20"/>
        <v/>
      </c>
      <c r="E176" s="255" t="str">
        <f t="shared" si="21"/>
        <v/>
      </c>
      <c r="F176" s="255" t="str">
        <f t="shared" si="25"/>
        <v/>
      </c>
      <c r="G176" s="255" t="str">
        <f t="shared" si="26"/>
        <v/>
      </c>
      <c r="H176" s="255" t="e">
        <f t="shared" si="22"/>
        <v>#N/A</v>
      </c>
      <c r="I176" s="257" t="e">
        <f t="shared" si="23"/>
        <v>#N/A</v>
      </c>
    </row>
    <row r="177" spans="1:9" ht="12.75" customHeight="1">
      <c r="A177" s="242"/>
      <c r="B177" s="255" t="e">
        <f t="shared" si="24"/>
        <v>#N/A</v>
      </c>
      <c r="C177" s="255" t="str">
        <f t="shared" si="19"/>
        <v/>
      </c>
      <c r="D177" s="255" t="str">
        <f t="shared" si="20"/>
        <v/>
      </c>
      <c r="E177" s="255" t="str">
        <f t="shared" si="21"/>
        <v/>
      </c>
      <c r="F177" s="255" t="str">
        <f t="shared" si="25"/>
        <v/>
      </c>
      <c r="G177" s="255" t="str">
        <f t="shared" si="26"/>
        <v/>
      </c>
      <c r="H177" s="255" t="e">
        <f t="shared" si="22"/>
        <v>#N/A</v>
      </c>
      <c r="I177" s="257" t="e">
        <f t="shared" si="23"/>
        <v>#N/A</v>
      </c>
    </row>
    <row r="178" spans="1:9" ht="12.75" customHeight="1">
      <c r="A178" s="242"/>
      <c r="B178" s="255" t="e">
        <f t="shared" si="24"/>
        <v>#N/A</v>
      </c>
      <c r="C178" s="255" t="str">
        <f t="shared" si="19"/>
        <v/>
      </c>
      <c r="D178" s="255" t="str">
        <f t="shared" si="20"/>
        <v/>
      </c>
      <c r="E178" s="255" t="str">
        <f t="shared" si="21"/>
        <v/>
      </c>
      <c r="F178" s="255" t="str">
        <f t="shared" si="25"/>
        <v/>
      </c>
      <c r="G178" s="255" t="str">
        <f t="shared" si="26"/>
        <v/>
      </c>
      <c r="H178" s="255" t="e">
        <f t="shared" si="22"/>
        <v>#N/A</v>
      </c>
      <c r="I178" s="257" t="e">
        <f t="shared" si="23"/>
        <v>#N/A</v>
      </c>
    </row>
    <row r="179" spans="1:9" ht="12.75" customHeight="1">
      <c r="A179" s="242"/>
      <c r="B179" s="255" t="e">
        <f t="shared" si="24"/>
        <v>#N/A</v>
      </c>
      <c r="C179" s="255" t="str">
        <f t="shared" si="19"/>
        <v/>
      </c>
      <c r="D179" s="255" t="str">
        <f t="shared" si="20"/>
        <v/>
      </c>
      <c r="E179" s="255" t="str">
        <f t="shared" si="21"/>
        <v/>
      </c>
      <c r="F179" s="255" t="str">
        <f t="shared" si="25"/>
        <v/>
      </c>
      <c r="G179" s="255" t="str">
        <f t="shared" si="26"/>
        <v/>
      </c>
      <c r="H179" s="255" t="e">
        <f t="shared" si="22"/>
        <v>#N/A</v>
      </c>
      <c r="I179" s="257" t="e">
        <f t="shared" si="23"/>
        <v>#N/A</v>
      </c>
    </row>
    <row r="180" spans="1:9" ht="12.75" customHeight="1">
      <c r="A180" s="242"/>
      <c r="B180" s="255" t="e">
        <f t="shared" si="24"/>
        <v>#N/A</v>
      </c>
      <c r="C180" s="255" t="str">
        <f t="shared" si="19"/>
        <v/>
      </c>
      <c r="D180" s="255" t="str">
        <f t="shared" si="20"/>
        <v/>
      </c>
      <c r="E180" s="255" t="str">
        <f t="shared" si="21"/>
        <v/>
      </c>
      <c r="F180" s="255" t="str">
        <f t="shared" si="25"/>
        <v/>
      </c>
      <c r="G180" s="255" t="str">
        <f t="shared" si="26"/>
        <v/>
      </c>
      <c r="H180" s="255" t="e">
        <f t="shared" si="22"/>
        <v>#N/A</v>
      </c>
      <c r="I180" s="257" t="e">
        <f t="shared" si="23"/>
        <v>#N/A</v>
      </c>
    </row>
    <row r="181" spans="1:9" ht="12.75" customHeight="1">
      <c r="A181" s="242"/>
      <c r="B181" s="255" t="e">
        <f t="shared" si="24"/>
        <v>#N/A</v>
      </c>
      <c r="C181" s="255" t="str">
        <f t="shared" si="19"/>
        <v/>
      </c>
      <c r="D181" s="255" t="str">
        <f t="shared" si="20"/>
        <v/>
      </c>
      <c r="E181" s="255" t="str">
        <f t="shared" si="21"/>
        <v/>
      </c>
      <c r="F181" s="255" t="str">
        <f t="shared" si="25"/>
        <v/>
      </c>
      <c r="G181" s="255" t="str">
        <f t="shared" si="26"/>
        <v/>
      </c>
      <c r="H181" s="255" t="e">
        <f t="shared" si="22"/>
        <v>#N/A</v>
      </c>
      <c r="I181" s="257" t="e">
        <f t="shared" si="23"/>
        <v>#N/A</v>
      </c>
    </row>
    <row r="182" spans="1:9" ht="12.75" customHeight="1">
      <c r="A182" s="242"/>
      <c r="B182" s="255" t="e">
        <f t="shared" si="24"/>
        <v>#N/A</v>
      </c>
      <c r="C182" s="255" t="str">
        <f t="shared" si="19"/>
        <v/>
      </c>
      <c r="D182" s="255" t="str">
        <f t="shared" si="20"/>
        <v/>
      </c>
      <c r="E182" s="255" t="str">
        <f t="shared" si="21"/>
        <v/>
      </c>
      <c r="F182" s="255" t="str">
        <f t="shared" si="25"/>
        <v/>
      </c>
      <c r="G182" s="255" t="str">
        <f t="shared" si="26"/>
        <v/>
      </c>
      <c r="H182" s="255" t="e">
        <f t="shared" si="22"/>
        <v>#N/A</v>
      </c>
      <c r="I182" s="257" t="e">
        <f t="shared" si="23"/>
        <v>#N/A</v>
      </c>
    </row>
    <row r="183" spans="1:9" ht="12.75" customHeight="1">
      <c r="A183" s="242"/>
      <c r="B183" s="255" t="e">
        <f t="shared" si="24"/>
        <v>#N/A</v>
      </c>
      <c r="C183" s="255" t="str">
        <f t="shared" si="19"/>
        <v/>
      </c>
      <c r="D183" s="255" t="str">
        <f t="shared" si="20"/>
        <v/>
      </c>
      <c r="E183" s="255" t="str">
        <f t="shared" si="21"/>
        <v/>
      </c>
      <c r="F183" s="255" t="str">
        <f t="shared" si="25"/>
        <v/>
      </c>
      <c r="G183" s="255" t="str">
        <f t="shared" si="26"/>
        <v/>
      </c>
      <c r="H183" s="255" t="e">
        <f t="shared" si="22"/>
        <v>#N/A</v>
      </c>
      <c r="I183" s="257" t="e">
        <f t="shared" si="23"/>
        <v>#N/A</v>
      </c>
    </row>
    <row r="184" spans="1:9" ht="12.75" customHeight="1">
      <c r="A184" s="273"/>
      <c r="B184" s="255" t="e">
        <f t="shared" si="24"/>
        <v>#N/A</v>
      </c>
      <c r="C184" s="255" t="str">
        <f t="shared" si="19"/>
        <v/>
      </c>
      <c r="D184" s="255" t="str">
        <f t="shared" si="20"/>
        <v/>
      </c>
      <c r="E184" s="255" t="str">
        <f t="shared" si="21"/>
        <v/>
      </c>
      <c r="F184" s="255" t="str">
        <f t="shared" si="25"/>
        <v/>
      </c>
      <c r="G184" s="255" t="str">
        <f t="shared" si="26"/>
        <v/>
      </c>
      <c r="H184" s="255" t="e">
        <f t="shared" si="22"/>
        <v>#N/A</v>
      </c>
      <c r="I184" s="257" t="e">
        <f t="shared" si="23"/>
        <v>#N/A</v>
      </c>
    </row>
    <row r="185" spans="1:9" ht="12.75" customHeight="1">
      <c r="A185" s="273"/>
      <c r="B185" s="255" t="e">
        <f t="shared" si="24"/>
        <v>#N/A</v>
      </c>
      <c r="C185" s="255" t="str">
        <f t="shared" si="19"/>
        <v/>
      </c>
      <c r="D185" s="255" t="str">
        <f t="shared" si="20"/>
        <v/>
      </c>
      <c r="E185" s="255" t="str">
        <f t="shared" si="21"/>
        <v/>
      </c>
      <c r="F185" s="255" t="str">
        <f t="shared" si="25"/>
        <v/>
      </c>
      <c r="G185" s="255" t="str">
        <f t="shared" si="26"/>
        <v/>
      </c>
      <c r="H185" s="255" t="e">
        <f t="shared" si="22"/>
        <v>#N/A</v>
      </c>
      <c r="I185" s="257" t="e">
        <f t="shared" si="23"/>
        <v>#N/A</v>
      </c>
    </row>
    <row r="186" spans="1:9" ht="12.75" customHeight="1">
      <c r="A186" s="273"/>
      <c r="B186" s="255" t="e">
        <f t="shared" si="24"/>
        <v>#N/A</v>
      </c>
      <c r="C186" s="255" t="str">
        <f t="shared" si="19"/>
        <v/>
      </c>
      <c r="D186" s="255" t="str">
        <f t="shared" si="20"/>
        <v/>
      </c>
      <c r="E186" s="255" t="str">
        <f t="shared" si="21"/>
        <v/>
      </c>
      <c r="F186" s="255" t="str">
        <f t="shared" si="25"/>
        <v/>
      </c>
      <c r="G186" s="255" t="str">
        <f t="shared" si="26"/>
        <v/>
      </c>
      <c r="H186" s="255" t="e">
        <f t="shared" si="22"/>
        <v>#N/A</v>
      </c>
      <c r="I186" s="257" t="e">
        <f t="shared" si="23"/>
        <v>#N/A</v>
      </c>
    </row>
    <row r="187" spans="1:9" ht="12.75" customHeight="1">
      <c r="A187" s="273"/>
      <c r="B187" s="255" t="e">
        <f t="shared" si="24"/>
        <v>#N/A</v>
      </c>
      <c r="C187" s="255" t="str">
        <f t="shared" si="19"/>
        <v/>
      </c>
      <c r="D187" s="255" t="str">
        <f t="shared" si="20"/>
        <v/>
      </c>
      <c r="E187" s="255" t="str">
        <f t="shared" si="21"/>
        <v/>
      </c>
      <c r="F187" s="255" t="str">
        <f t="shared" si="25"/>
        <v/>
      </c>
      <c r="G187" s="255" t="str">
        <f t="shared" si="26"/>
        <v/>
      </c>
      <c r="H187" s="255" t="e">
        <f t="shared" si="22"/>
        <v>#N/A</v>
      </c>
      <c r="I187" s="257" t="e">
        <f t="shared" si="23"/>
        <v>#N/A</v>
      </c>
    </row>
    <row r="188" spans="1:9" ht="12.75" customHeight="1">
      <c r="A188" s="273"/>
      <c r="B188" s="255" t="e">
        <f t="shared" si="24"/>
        <v>#N/A</v>
      </c>
      <c r="C188" s="255" t="str">
        <f t="shared" si="19"/>
        <v/>
      </c>
      <c r="D188" s="255" t="str">
        <f t="shared" si="20"/>
        <v/>
      </c>
      <c r="E188" s="255" t="str">
        <f t="shared" si="21"/>
        <v/>
      </c>
      <c r="F188" s="255" t="str">
        <f t="shared" si="25"/>
        <v/>
      </c>
      <c r="G188" s="255" t="str">
        <f t="shared" si="26"/>
        <v/>
      </c>
      <c r="H188" s="255" t="e">
        <f t="shared" si="22"/>
        <v>#N/A</v>
      </c>
      <c r="I188" s="257" t="e">
        <f t="shared" si="23"/>
        <v>#N/A</v>
      </c>
    </row>
    <row r="189" spans="1:9" ht="12.75" customHeight="1">
      <c r="A189" s="273"/>
      <c r="B189" s="255" t="e">
        <f t="shared" si="24"/>
        <v>#N/A</v>
      </c>
      <c r="C189" s="255" t="str">
        <f t="shared" si="19"/>
        <v/>
      </c>
      <c r="D189" s="255" t="str">
        <f t="shared" si="20"/>
        <v/>
      </c>
      <c r="E189" s="255" t="str">
        <f t="shared" si="21"/>
        <v/>
      </c>
      <c r="F189" s="255" t="str">
        <f t="shared" si="25"/>
        <v/>
      </c>
      <c r="G189" s="255" t="str">
        <f t="shared" si="26"/>
        <v/>
      </c>
      <c r="H189" s="255" t="e">
        <f t="shared" si="22"/>
        <v>#N/A</v>
      </c>
      <c r="I189" s="257" t="e">
        <f t="shared" si="23"/>
        <v>#N/A</v>
      </c>
    </row>
    <row r="190" spans="1:9" ht="12.75" customHeight="1">
      <c r="A190" s="273"/>
      <c r="B190" s="255" t="e">
        <f t="shared" si="24"/>
        <v>#N/A</v>
      </c>
      <c r="C190" s="255" t="str">
        <f t="shared" si="19"/>
        <v/>
      </c>
      <c r="D190" s="255" t="str">
        <f t="shared" si="20"/>
        <v/>
      </c>
      <c r="E190" s="255" t="str">
        <f t="shared" si="21"/>
        <v/>
      </c>
      <c r="F190" s="255" t="str">
        <f t="shared" si="25"/>
        <v/>
      </c>
      <c r="G190" s="255" t="str">
        <f t="shared" si="26"/>
        <v/>
      </c>
      <c r="H190" s="255" t="e">
        <f t="shared" si="22"/>
        <v>#N/A</v>
      </c>
      <c r="I190" s="257" t="e">
        <f t="shared" si="23"/>
        <v>#N/A</v>
      </c>
    </row>
    <row r="191" spans="1:9" ht="12.75" customHeight="1">
      <c r="A191" s="273"/>
      <c r="B191" s="255" t="e">
        <f t="shared" si="24"/>
        <v>#N/A</v>
      </c>
      <c r="C191" s="255" t="str">
        <f t="shared" si="19"/>
        <v/>
      </c>
      <c r="D191" s="255" t="str">
        <f t="shared" si="20"/>
        <v/>
      </c>
      <c r="E191" s="255" t="str">
        <f t="shared" si="21"/>
        <v/>
      </c>
      <c r="F191" s="255" t="str">
        <f t="shared" si="25"/>
        <v/>
      </c>
      <c r="G191" s="255" t="str">
        <f t="shared" si="26"/>
        <v/>
      </c>
      <c r="H191" s="255" t="e">
        <f t="shared" si="22"/>
        <v>#N/A</v>
      </c>
      <c r="I191" s="257" t="e">
        <f t="shared" si="23"/>
        <v>#N/A</v>
      </c>
    </row>
    <row r="192" spans="1:9" ht="12.75" customHeight="1">
      <c r="A192" s="273"/>
      <c r="B192" s="255" t="e">
        <f t="shared" si="24"/>
        <v>#N/A</v>
      </c>
      <c r="C192" s="255" t="str">
        <f t="shared" si="19"/>
        <v/>
      </c>
      <c r="D192" s="255" t="str">
        <f t="shared" si="20"/>
        <v/>
      </c>
      <c r="E192" s="255" t="str">
        <f t="shared" si="21"/>
        <v/>
      </c>
      <c r="F192" s="255" t="str">
        <f t="shared" si="25"/>
        <v/>
      </c>
      <c r="G192" s="255" t="str">
        <f t="shared" si="26"/>
        <v/>
      </c>
      <c r="H192" s="255" t="e">
        <f t="shared" si="22"/>
        <v>#N/A</v>
      </c>
      <c r="I192" s="257" t="e">
        <f t="shared" si="23"/>
        <v>#N/A</v>
      </c>
    </row>
    <row r="193" spans="1:9" ht="12.75" customHeight="1">
      <c r="A193" s="273"/>
      <c r="B193" s="255" t="e">
        <f t="shared" si="24"/>
        <v>#N/A</v>
      </c>
      <c r="C193" s="255" t="str">
        <f t="shared" si="19"/>
        <v/>
      </c>
      <c r="D193" s="255" t="str">
        <f t="shared" si="20"/>
        <v/>
      </c>
      <c r="E193" s="255" t="str">
        <f t="shared" si="21"/>
        <v/>
      </c>
      <c r="F193" s="255" t="str">
        <f t="shared" si="25"/>
        <v/>
      </c>
      <c r="G193" s="255" t="str">
        <f t="shared" si="26"/>
        <v/>
      </c>
      <c r="H193" s="255" t="e">
        <f t="shared" si="22"/>
        <v>#N/A</v>
      </c>
      <c r="I193" s="257" t="e">
        <f t="shared" si="23"/>
        <v>#N/A</v>
      </c>
    </row>
    <row r="194" spans="1:9" ht="12.75" customHeight="1">
      <c r="A194" s="273"/>
      <c r="B194" s="255" t="e">
        <f t="shared" si="24"/>
        <v>#N/A</v>
      </c>
      <c r="C194" s="255" t="str">
        <f t="shared" si="19"/>
        <v/>
      </c>
      <c r="D194" s="255" t="str">
        <f t="shared" si="20"/>
        <v/>
      </c>
      <c r="E194" s="255" t="str">
        <f t="shared" si="21"/>
        <v/>
      </c>
      <c r="F194" s="255" t="str">
        <f t="shared" si="25"/>
        <v/>
      </c>
      <c r="G194" s="255" t="str">
        <f t="shared" si="26"/>
        <v/>
      </c>
      <c r="H194" s="255" t="e">
        <f t="shared" si="22"/>
        <v>#N/A</v>
      </c>
      <c r="I194" s="257" t="e">
        <f t="shared" si="23"/>
        <v>#N/A</v>
      </c>
    </row>
    <row r="195" spans="1:9" ht="12.75" customHeight="1">
      <c r="A195" s="273"/>
      <c r="B195" s="255" t="e">
        <f t="shared" si="24"/>
        <v>#N/A</v>
      </c>
      <c r="C195" s="255" t="str">
        <f t="shared" si="19"/>
        <v/>
      </c>
      <c r="D195" s="255" t="str">
        <f t="shared" si="20"/>
        <v/>
      </c>
      <c r="E195" s="255" t="str">
        <f t="shared" si="21"/>
        <v/>
      </c>
      <c r="F195" s="255" t="str">
        <f t="shared" si="25"/>
        <v/>
      </c>
      <c r="G195" s="255" t="str">
        <f t="shared" si="26"/>
        <v/>
      </c>
      <c r="H195" s="255" t="e">
        <f t="shared" si="22"/>
        <v>#N/A</v>
      </c>
      <c r="I195" s="257" t="e">
        <f t="shared" si="23"/>
        <v>#N/A</v>
      </c>
    </row>
    <row r="196" spans="1:9" ht="12.75" customHeight="1">
      <c r="A196" s="273"/>
      <c r="B196" s="255" t="e">
        <f t="shared" si="24"/>
        <v>#N/A</v>
      </c>
      <c r="C196" s="255" t="str">
        <f t="shared" si="19"/>
        <v/>
      </c>
      <c r="D196" s="255" t="str">
        <f t="shared" si="20"/>
        <v/>
      </c>
      <c r="E196" s="255" t="str">
        <f t="shared" si="21"/>
        <v/>
      </c>
      <c r="F196" s="255" t="str">
        <f t="shared" si="25"/>
        <v/>
      </c>
      <c r="G196" s="255" t="str">
        <f t="shared" si="26"/>
        <v/>
      </c>
      <c r="H196" s="255" t="e">
        <f t="shared" si="22"/>
        <v>#N/A</v>
      </c>
      <c r="I196" s="257" t="e">
        <f t="shared" si="23"/>
        <v>#N/A</v>
      </c>
    </row>
    <row r="197" spans="1:9" ht="12.75" customHeight="1">
      <c r="A197" s="273"/>
      <c r="B197" s="255" t="e">
        <f t="shared" si="24"/>
        <v>#N/A</v>
      </c>
      <c r="C197" s="255" t="str">
        <f t="shared" ref="C197:C260" si="27">IF(ISBLANK(A197),"",C196+1)</f>
        <v/>
      </c>
      <c r="D197" s="255" t="str">
        <f t="shared" ref="D197:D260" si="28">IF(ISBLANK(A197),"",NORMSDIST((B197-$B$24)/$B$25))</f>
        <v/>
      </c>
      <c r="E197" s="255" t="str">
        <f t="shared" ref="E197:E260" si="29">IF(ISBLANK(A197),"",1-D197)</f>
        <v/>
      </c>
      <c r="F197" s="255" t="str">
        <f t="shared" si="25"/>
        <v/>
      </c>
      <c r="G197" s="255" t="str">
        <f t="shared" si="26"/>
        <v/>
      </c>
      <c r="H197" s="255" t="e">
        <f t="shared" ref="H197:H260" si="30">IF(A197="",NA(),NORMINV((C197-3/8)/($B$23+1/4),$B$24,$B$25))</f>
        <v>#N/A</v>
      </c>
      <c r="I197" s="257" t="e">
        <f t="shared" ref="I197:I260" si="31">IF(B197="",NA(),(C197-3/8)/($B$23+1/4))</f>
        <v>#N/A</v>
      </c>
    </row>
    <row r="198" spans="1:9" ht="12.75" customHeight="1">
      <c r="A198" s="273"/>
      <c r="B198" s="255" t="e">
        <f t="shared" si="24"/>
        <v>#N/A</v>
      </c>
      <c r="C198" s="255" t="str">
        <f t="shared" si="27"/>
        <v/>
      </c>
      <c r="D198" s="255" t="str">
        <f t="shared" si="28"/>
        <v/>
      </c>
      <c r="E198" s="255" t="str">
        <f t="shared" si="29"/>
        <v/>
      </c>
      <c r="F198" s="255" t="str">
        <f t="shared" si="25"/>
        <v/>
      </c>
      <c r="G198" s="255" t="str">
        <f t="shared" si="26"/>
        <v/>
      </c>
      <c r="H198" s="255" t="e">
        <f t="shared" si="30"/>
        <v>#N/A</v>
      </c>
      <c r="I198" s="257" t="e">
        <f t="shared" si="31"/>
        <v>#N/A</v>
      </c>
    </row>
    <row r="199" spans="1:9" ht="12.75" customHeight="1">
      <c r="A199" s="273"/>
      <c r="B199" s="255" t="e">
        <f t="shared" si="24"/>
        <v>#N/A</v>
      </c>
      <c r="C199" s="255" t="str">
        <f t="shared" si="27"/>
        <v/>
      </c>
      <c r="D199" s="255" t="str">
        <f t="shared" si="28"/>
        <v/>
      </c>
      <c r="E199" s="255" t="str">
        <f t="shared" si="29"/>
        <v/>
      </c>
      <c r="F199" s="255" t="str">
        <f t="shared" si="25"/>
        <v/>
      </c>
      <c r="G199" s="255" t="str">
        <f t="shared" si="26"/>
        <v/>
      </c>
      <c r="H199" s="255" t="e">
        <f t="shared" si="30"/>
        <v>#N/A</v>
      </c>
      <c r="I199" s="257" t="e">
        <f t="shared" si="31"/>
        <v>#N/A</v>
      </c>
    </row>
    <row r="200" spans="1:9" ht="12.75" customHeight="1">
      <c r="A200" s="273"/>
      <c r="B200" s="255" t="e">
        <f t="shared" si="24"/>
        <v>#N/A</v>
      </c>
      <c r="C200" s="255" t="str">
        <f t="shared" si="27"/>
        <v/>
      </c>
      <c r="D200" s="255" t="str">
        <f t="shared" si="28"/>
        <v/>
      </c>
      <c r="E200" s="255" t="str">
        <f t="shared" si="29"/>
        <v/>
      </c>
      <c r="F200" s="255" t="str">
        <f t="shared" si="25"/>
        <v/>
      </c>
      <c r="G200" s="255" t="str">
        <f t="shared" si="26"/>
        <v/>
      </c>
      <c r="H200" s="255" t="e">
        <f t="shared" si="30"/>
        <v>#N/A</v>
      </c>
      <c r="I200" s="257" t="e">
        <f t="shared" si="31"/>
        <v>#N/A</v>
      </c>
    </row>
    <row r="201" spans="1:9" ht="12.75" customHeight="1">
      <c r="A201" s="273"/>
      <c r="B201" s="255" t="e">
        <f t="shared" si="24"/>
        <v>#N/A</v>
      </c>
      <c r="C201" s="255" t="str">
        <f t="shared" si="27"/>
        <v/>
      </c>
      <c r="D201" s="255" t="str">
        <f t="shared" si="28"/>
        <v/>
      </c>
      <c r="E201" s="255" t="str">
        <f t="shared" si="29"/>
        <v/>
      </c>
      <c r="F201" s="255" t="str">
        <f t="shared" si="25"/>
        <v/>
      </c>
      <c r="G201" s="255" t="str">
        <f t="shared" si="26"/>
        <v/>
      </c>
      <c r="H201" s="255" t="e">
        <f t="shared" si="30"/>
        <v>#N/A</v>
      </c>
      <c r="I201" s="257" t="e">
        <f t="shared" si="31"/>
        <v>#N/A</v>
      </c>
    </row>
    <row r="202" spans="1:9" ht="12.75" customHeight="1">
      <c r="A202" s="273"/>
      <c r="B202" s="255" t="e">
        <f t="shared" si="24"/>
        <v>#N/A</v>
      </c>
      <c r="C202" s="255" t="str">
        <f t="shared" si="27"/>
        <v/>
      </c>
      <c r="D202" s="255" t="str">
        <f t="shared" si="28"/>
        <v/>
      </c>
      <c r="E202" s="255" t="str">
        <f t="shared" si="29"/>
        <v/>
      </c>
      <c r="F202" s="255" t="str">
        <f t="shared" si="25"/>
        <v/>
      </c>
      <c r="G202" s="255" t="str">
        <f t="shared" si="26"/>
        <v/>
      </c>
      <c r="H202" s="255" t="e">
        <f t="shared" si="30"/>
        <v>#N/A</v>
      </c>
      <c r="I202" s="257" t="e">
        <f t="shared" si="31"/>
        <v>#N/A</v>
      </c>
    </row>
    <row r="203" spans="1:9" ht="12.75" customHeight="1">
      <c r="A203" s="273"/>
      <c r="B203" s="255" t="e">
        <f t="shared" si="24"/>
        <v>#N/A</v>
      </c>
      <c r="C203" s="255" t="str">
        <f t="shared" si="27"/>
        <v/>
      </c>
      <c r="D203" s="255" t="str">
        <f t="shared" si="28"/>
        <v/>
      </c>
      <c r="E203" s="255" t="str">
        <f t="shared" si="29"/>
        <v/>
      </c>
      <c r="F203" s="255" t="str">
        <f t="shared" si="25"/>
        <v/>
      </c>
      <c r="G203" s="255" t="str">
        <f t="shared" si="26"/>
        <v/>
      </c>
      <c r="H203" s="255" t="e">
        <f t="shared" si="30"/>
        <v>#N/A</v>
      </c>
      <c r="I203" s="257" t="e">
        <f t="shared" si="31"/>
        <v>#N/A</v>
      </c>
    </row>
    <row r="204" spans="1:9" ht="12.75" customHeight="1">
      <c r="A204" s="273"/>
      <c r="B204" s="255" t="e">
        <f t="shared" si="24"/>
        <v>#N/A</v>
      </c>
      <c r="C204" s="255" t="str">
        <f t="shared" si="27"/>
        <v/>
      </c>
      <c r="D204" s="255" t="str">
        <f t="shared" si="28"/>
        <v/>
      </c>
      <c r="E204" s="255" t="str">
        <f t="shared" si="29"/>
        <v/>
      </c>
      <c r="F204" s="255" t="str">
        <f t="shared" si="25"/>
        <v/>
      </c>
      <c r="G204" s="255" t="str">
        <f t="shared" si="26"/>
        <v/>
      </c>
      <c r="H204" s="255" t="e">
        <f t="shared" si="30"/>
        <v>#N/A</v>
      </c>
      <c r="I204" s="257" t="e">
        <f t="shared" si="31"/>
        <v>#N/A</v>
      </c>
    </row>
    <row r="205" spans="1:9" ht="12.75" customHeight="1">
      <c r="A205" s="273"/>
      <c r="B205" s="255" t="e">
        <f t="shared" si="24"/>
        <v>#N/A</v>
      </c>
      <c r="C205" s="255" t="str">
        <f t="shared" si="27"/>
        <v/>
      </c>
      <c r="D205" s="255" t="str">
        <f t="shared" si="28"/>
        <v/>
      </c>
      <c r="E205" s="255" t="str">
        <f t="shared" si="29"/>
        <v/>
      </c>
      <c r="F205" s="255" t="str">
        <f t="shared" si="25"/>
        <v/>
      </c>
      <c r="G205" s="255" t="str">
        <f t="shared" si="26"/>
        <v/>
      </c>
      <c r="H205" s="255" t="e">
        <f t="shared" si="30"/>
        <v>#N/A</v>
      </c>
      <c r="I205" s="257" t="e">
        <f t="shared" si="31"/>
        <v>#N/A</v>
      </c>
    </row>
    <row r="206" spans="1:9" ht="12.75" customHeight="1">
      <c r="A206" s="273"/>
      <c r="B206" s="255" t="e">
        <f t="shared" si="24"/>
        <v>#N/A</v>
      </c>
      <c r="C206" s="255" t="str">
        <f t="shared" si="27"/>
        <v/>
      </c>
      <c r="D206" s="255" t="str">
        <f t="shared" si="28"/>
        <v/>
      </c>
      <c r="E206" s="255" t="str">
        <f t="shared" si="29"/>
        <v/>
      </c>
      <c r="F206" s="255" t="str">
        <f t="shared" si="25"/>
        <v/>
      </c>
      <c r="G206" s="255" t="str">
        <f t="shared" si="26"/>
        <v/>
      </c>
      <c r="H206" s="255" t="e">
        <f t="shared" si="30"/>
        <v>#N/A</v>
      </c>
      <c r="I206" s="257" t="e">
        <f t="shared" si="31"/>
        <v>#N/A</v>
      </c>
    </row>
    <row r="207" spans="1:9" ht="12.75" customHeight="1">
      <c r="A207" s="273"/>
      <c r="B207" s="255" t="e">
        <f t="shared" si="24"/>
        <v>#N/A</v>
      </c>
      <c r="C207" s="255" t="str">
        <f t="shared" si="27"/>
        <v/>
      </c>
      <c r="D207" s="255" t="str">
        <f t="shared" si="28"/>
        <v/>
      </c>
      <c r="E207" s="255" t="str">
        <f t="shared" si="29"/>
        <v/>
      </c>
      <c r="F207" s="255" t="str">
        <f t="shared" si="25"/>
        <v/>
      </c>
      <c r="G207" s="255" t="str">
        <f t="shared" si="26"/>
        <v/>
      </c>
      <c r="H207" s="255" t="e">
        <f t="shared" si="30"/>
        <v>#N/A</v>
      </c>
      <c r="I207" s="257" t="e">
        <f t="shared" si="31"/>
        <v>#N/A</v>
      </c>
    </row>
    <row r="208" spans="1:9" ht="12.75" customHeight="1">
      <c r="A208" s="273"/>
      <c r="B208" s="255" t="e">
        <f t="shared" si="24"/>
        <v>#N/A</v>
      </c>
      <c r="C208" s="255" t="str">
        <f t="shared" si="27"/>
        <v/>
      </c>
      <c r="D208" s="255" t="str">
        <f t="shared" si="28"/>
        <v/>
      </c>
      <c r="E208" s="255" t="str">
        <f t="shared" si="29"/>
        <v/>
      </c>
      <c r="F208" s="255" t="str">
        <f t="shared" si="25"/>
        <v/>
      </c>
      <c r="G208" s="255" t="str">
        <f t="shared" si="26"/>
        <v/>
      </c>
      <c r="H208" s="255" t="e">
        <f t="shared" si="30"/>
        <v>#N/A</v>
      </c>
      <c r="I208" s="257" t="e">
        <f t="shared" si="31"/>
        <v>#N/A</v>
      </c>
    </row>
    <row r="209" spans="1:9" ht="12.75" customHeight="1">
      <c r="A209" s="273"/>
      <c r="B209" s="255" t="e">
        <f t="shared" si="24"/>
        <v>#N/A</v>
      </c>
      <c r="C209" s="255" t="str">
        <f t="shared" si="27"/>
        <v/>
      </c>
      <c r="D209" s="255" t="str">
        <f t="shared" si="28"/>
        <v/>
      </c>
      <c r="E209" s="255" t="str">
        <f t="shared" si="29"/>
        <v/>
      </c>
      <c r="F209" s="255" t="str">
        <f t="shared" si="25"/>
        <v/>
      </c>
      <c r="G209" s="255" t="str">
        <f t="shared" si="26"/>
        <v/>
      </c>
      <c r="H209" s="255" t="e">
        <f t="shared" si="30"/>
        <v>#N/A</v>
      </c>
      <c r="I209" s="257" t="e">
        <f t="shared" si="31"/>
        <v>#N/A</v>
      </c>
    </row>
    <row r="210" spans="1:9" ht="12.75" customHeight="1">
      <c r="A210" s="273"/>
      <c r="B210" s="255" t="e">
        <f t="shared" si="24"/>
        <v>#N/A</v>
      </c>
      <c r="C210" s="255" t="str">
        <f t="shared" si="27"/>
        <v/>
      </c>
      <c r="D210" s="255" t="str">
        <f t="shared" si="28"/>
        <v/>
      </c>
      <c r="E210" s="255" t="str">
        <f t="shared" si="29"/>
        <v/>
      </c>
      <c r="F210" s="255" t="str">
        <f t="shared" si="25"/>
        <v/>
      </c>
      <c r="G210" s="255" t="str">
        <f t="shared" si="26"/>
        <v/>
      </c>
      <c r="H210" s="255" t="e">
        <f t="shared" si="30"/>
        <v>#N/A</v>
      </c>
      <c r="I210" s="257" t="e">
        <f t="shared" si="31"/>
        <v>#N/A</v>
      </c>
    </row>
    <row r="211" spans="1:9" ht="12.75" customHeight="1">
      <c r="A211" s="273"/>
      <c r="B211" s="255" t="e">
        <f t="shared" si="24"/>
        <v>#N/A</v>
      </c>
      <c r="C211" s="255" t="str">
        <f t="shared" si="27"/>
        <v/>
      </c>
      <c r="D211" s="255" t="str">
        <f t="shared" si="28"/>
        <v/>
      </c>
      <c r="E211" s="255" t="str">
        <f t="shared" si="29"/>
        <v/>
      </c>
      <c r="F211" s="255" t="str">
        <f t="shared" si="25"/>
        <v/>
      </c>
      <c r="G211" s="255" t="str">
        <f t="shared" si="26"/>
        <v/>
      </c>
      <c r="H211" s="255" t="e">
        <f t="shared" si="30"/>
        <v>#N/A</v>
      </c>
      <c r="I211" s="257" t="e">
        <f t="shared" si="31"/>
        <v>#N/A</v>
      </c>
    </row>
    <row r="212" spans="1:9" ht="12.75" customHeight="1">
      <c r="A212" s="273"/>
      <c r="B212" s="255" t="e">
        <f t="shared" si="24"/>
        <v>#N/A</v>
      </c>
      <c r="C212" s="255" t="str">
        <f t="shared" si="27"/>
        <v/>
      </c>
      <c r="D212" s="255" t="str">
        <f t="shared" si="28"/>
        <v/>
      </c>
      <c r="E212" s="255" t="str">
        <f t="shared" si="29"/>
        <v/>
      </c>
      <c r="F212" s="255" t="str">
        <f t="shared" si="25"/>
        <v/>
      </c>
      <c r="G212" s="255" t="str">
        <f t="shared" si="26"/>
        <v/>
      </c>
      <c r="H212" s="255" t="e">
        <f t="shared" si="30"/>
        <v>#N/A</v>
      </c>
      <c r="I212" s="257" t="e">
        <f t="shared" si="31"/>
        <v>#N/A</v>
      </c>
    </row>
    <row r="213" spans="1:9" ht="12.75" customHeight="1">
      <c r="A213" s="273"/>
      <c r="B213" s="255" t="e">
        <f t="shared" si="24"/>
        <v>#N/A</v>
      </c>
      <c r="C213" s="255" t="str">
        <f t="shared" si="27"/>
        <v/>
      </c>
      <c r="D213" s="255" t="str">
        <f t="shared" si="28"/>
        <v/>
      </c>
      <c r="E213" s="255" t="str">
        <f t="shared" si="29"/>
        <v/>
      </c>
      <c r="F213" s="255" t="str">
        <f t="shared" si="25"/>
        <v/>
      </c>
      <c r="G213" s="255" t="str">
        <f t="shared" si="26"/>
        <v/>
      </c>
      <c r="H213" s="255" t="e">
        <f t="shared" si="30"/>
        <v>#N/A</v>
      </c>
      <c r="I213" s="257" t="e">
        <f t="shared" si="31"/>
        <v>#N/A</v>
      </c>
    </row>
    <row r="214" spans="1:9" ht="12.75" customHeight="1">
      <c r="A214" s="273"/>
      <c r="B214" s="255" t="e">
        <f t="shared" si="24"/>
        <v>#N/A</v>
      </c>
      <c r="C214" s="255" t="str">
        <f t="shared" si="27"/>
        <v/>
      </c>
      <c r="D214" s="255" t="str">
        <f t="shared" si="28"/>
        <v/>
      </c>
      <c r="E214" s="255" t="str">
        <f t="shared" si="29"/>
        <v/>
      </c>
      <c r="F214" s="255" t="str">
        <f t="shared" si="25"/>
        <v/>
      </c>
      <c r="G214" s="255" t="str">
        <f t="shared" si="26"/>
        <v/>
      </c>
      <c r="H214" s="255" t="e">
        <f t="shared" si="30"/>
        <v>#N/A</v>
      </c>
      <c r="I214" s="257" t="e">
        <f t="shared" si="31"/>
        <v>#N/A</v>
      </c>
    </row>
    <row r="215" spans="1:9" ht="12.75" customHeight="1">
      <c r="A215" s="273"/>
      <c r="B215" s="255" t="e">
        <f t="shared" si="24"/>
        <v>#N/A</v>
      </c>
      <c r="C215" s="255" t="str">
        <f t="shared" si="27"/>
        <v/>
      </c>
      <c r="D215" s="255" t="str">
        <f t="shared" si="28"/>
        <v/>
      </c>
      <c r="E215" s="255" t="str">
        <f t="shared" si="29"/>
        <v/>
      </c>
      <c r="F215" s="255" t="str">
        <f t="shared" si="25"/>
        <v/>
      </c>
      <c r="G215" s="255" t="str">
        <f t="shared" si="26"/>
        <v/>
      </c>
      <c r="H215" s="255" t="e">
        <f t="shared" si="30"/>
        <v>#N/A</v>
      </c>
      <c r="I215" s="257" t="e">
        <f t="shared" si="31"/>
        <v>#N/A</v>
      </c>
    </row>
    <row r="216" spans="1:9" ht="12.75" customHeight="1">
      <c r="A216" s="273"/>
      <c r="B216" s="255" t="e">
        <f t="shared" si="24"/>
        <v>#N/A</v>
      </c>
      <c r="C216" s="255" t="str">
        <f t="shared" si="27"/>
        <v/>
      </c>
      <c r="D216" s="255" t="str">
        <f t="shared" si="28"/>
        <v/>
      </c>
      <c r="E216" s="255" t="str">
        <f t="shared" si="29"/>
        <v/>
      </c>
      <c r="F216" s="255" t="str">
        <f t="shared" si="25"/>
        <v/>
      </c>
      <c r="G216" s="255" t="str">
        <f t="shared" si="26"/>
        <v/>
      </c>
      <c r="H216" s="255" t="e">
        <f t="shared" si="30"/>
        <v>#N/A</v>
      </c>
      <c r="I216" s="257" t="e">
        <f t="shared" si="31"/>
        <v>#N/A</v>
      </c>
    </row>
    <row r="217" spans="1:9" ht="12.75" customHeight="1">
      <c r="A217" s="273"/>
      <c r="B217" s="255" t="e">
        <f t="shared" si="24"/>
        <v>#N/A</v>
      </c>
      <c r="C217" s="255" t="str">
        <f t="shared" si="27"/>
        <v/>
      </c>
      <c r="D217" s="255" t="str">
        <f t="shared" si="28"/>
        <v/>
      </c>
      <c r="E217" s="255" t="str">
        <f t="shared" si="29"/>
        <v/>
      </c>
      <c r="F217" s="255" t="str">
        <f t="shared" si="25"/>
        <v/>
      </c>
      <c r="G217" s="255" t="str">
        <f t="shared" si="26"/>
        <v/>
      </c>
      <c r="H217" s="255" t="e">
        <f t="shared" si="30"/>
        <v>#N/A</v>
      </c>
      <c r="I217" s="257" t="e">
        <f t="shared" si="31"/>
        <v>#N/A</v>
      </c>
    </row>
    <row r="218" spans="1:9" ht="12.75" customHeight="1">
      <c r="A218" s="273"/>
      <c r="B218" s="255" t="e">
        <f t="shared" si="24"/>
        <v>#N/A</v>
      </c>
      <c r="C218" s="255" t="str">
        <f t="shared" si="27"/>
        <v/>
      </c>
      <c r="D218" s="255" t="str">
        <f t="shared" si="28"/>
        <v/>
      </c>
      <c r="E218" s="255" t="str">
        <f t="shared" si="29"/>
        <v/>
      </c>
      <c r="F218" s="255" t="str">
        <f t="shared" si="25"/>
        <v/>
      </c>
      <c r="G218" s="255" t="str">
        <f t="shared" si="26"/>
        <v/>
      </c>
      <c r="H218" s="255" t="e">
        <f t="shared" si="30"/>
        <v>#N/A</v>
      </c>
      <c r="I218" s="257" t="e">
        <f t="shared" si="31"/>
        <v>#N/A</v>
      </c>
    </row>
    <row r="219" spans="1:9" ht="12.75" customHeight="1">
      <c r="A219" s="273"/>
      <c r="B219" s="255" t="e">
        <f t="shared" si="24"/>
        <v>#N/A</v>
      </c>
      <c r="C219" s="255" t="str">
        <f t="shared" si="27"/>
        <v/>
      </c>
      <c r="D219" s="255" t="str">
        <f t="shared" si="28"/>
        <v/>
      </c>
      <c r="E219" s="255" t="str">
        <f t="shared" si="29"/>
        <v/>
      </c>
      <c r="F219" s="255" t="str">
        <f t="shared" si="25"/>
        <v/>
      </c>
      <c r="G219" s="255" t="str">
        <f t="shared" si="26"/>
        <v/>
      </c>
      <c r="H219" s="255" t="e">
        <f t="shared" si="30"/>
        <v>#N/A</v>
      </c>
      <c r="I219" s="257" t="e">
        <f t="shared" si="31"/>
        <v>#N/A</v>
      </c>
    </row>
    <row r="220" spans="1:9" ht="12.75" customHeight="1">
      <c r="A220" s="273"/>
      <c r="B220" s="255" t="e">
        <f t="shared" si="24"/>
        <v>#N/A</v>
      </c>
      <c r="C220" s="255" t="str">
        <f t="shared" si="27"/>
        <v/>
      </c>
      <c r="D220" s="255" t="str">
        <f t="shared" si="28"/>
        <v/>
      </c>
      <c r="E220" s="255" t="str">
        <f t="shared" si="29"/>
        <v/>
      </c>
      <c r="F220" s="255" t="str">
        <f t="shared" si="25"/>
        <v/>
      </c>
      <c r="G220" s="255" t="str">
        <f t="shared" si="26"/>
        <v/>
      </c>
      <c r="H220" s="255" t="e">
        <f t="shared" si="30"/>
        <v>#N/A</v>
      </c>
      <c r="I220" s="257" t="e">
        <f t="shared" si="31"/>
        <v>#N/A</v>
      </c>
    </row>
    <row r="221" spans="1:9" ht="12.75" customHeight="1">
      <c r="A221" s="273"/>
      <c r="B221" s="255" t="e">
        <f t="shared" si="24"/>
        <v>#N/A</v>
      </c>
      <c r="C221" s="255" t="str">
        <f t="shared" si="27"/>
        <v/>
      </c>
      <c r="D221" s="255" t="str">
        <f t="shared" si="28"/>
        <v/>
      </c>
      <c r="E221" s="255" t="str">
        <f t="shared" si="29"/>
        <v/>
      </c>
      <c r="F221" s="255" t="str">
        <f t="shared" si="25"/>
        <v/>
      </c>
      <c r="G221" s="255" t="str">
        <f t="shared" si="26"/>
        <v/>
      </c>
      <c r="H221" s="255" t="e">
        <f t="shared" si="30"/>
        <v>#N/A</v>
      </c>
      <c r="I221" s="257" t="e">
        <f t="shared" si="31"/>
        <v>#N/A</v>
      </c>
    </row>
    <row r="222" spans="1:9" ht="12.75" customHeight="1">
      <c r="A222" s="273"/>
      <c r="B222" s="255" t="e">
        <f t="shared" si="24"/>
        <v>#N/A</v>
      </c>
      <c r="C222" s="255" t="str">
        <f t="shared" si="27"/>
        <v/>
      </c>
      <c r="D222" s="255" t="str">
        <f t="shared" si="28"/>
        <v/>
      </c>
      <c r="E222" s="255" t="str">
        <f t="shared" si="29"/>
        <v/>
      </c>
      <c r="F222" s="255" t="str">
        <f t="shared" si="25"/>
        <v/>
      </c>
      <c r="G222" s="255" t="str">
        <f t="shared" si="26"/>
        <v/>
      </c>
      <c r="H222" s="255" t="e">
        <f t="shared" si="30"/>
        <v>#N/A</v>
      </c>
      <c r="I222" s="257" t="e">
        <f t="shared" si="31"/>
        <v>#N/A</v>
      </c>
    </row>
    <row r="223" spans="1:9" ht="12.75" customHeight="1">
      <c r="A223" s="273"/>
      <c r="B223" s="255" t="e">
        <f t="shared" si="24"/>
        <v>#N/A</v>
      </c>
      <c r="C223" s="255" t="str">
        <f t="shared" si="27"/>
        <v/>
      </c>
      <c r="D223" s="255" t="str">
        <f t="shared" si="28"/>
        <v/>
      </c>
      <c r="E223" s="255" t="str">
        <f t="shared" si="29"/>
        <v/>
      </c>
      <c r="F223" s="255" t="str">
        <f t="shared" si="25"/>
        <v/>
      </c>
      <c r="G223" s="255" t="str">
        <f t="shared" si="26"/>
        <v/>
      </c>
      <c r="H223" s="255" t="e">
        <f t="shared" si="30"/>
        <v>#N/A</v>
      </c>
      <c r="I223" s="257" t="e">
        <f t="shared" si="31"/>
        <v>#N/A</v>
      </c>
    </row>
    <row r="224" spans="1:9" ht="12.75" customHeight="1">
      <c r="A224" s="273"/>
      <c r="B224" s="255" t="e">
        <f t="shared" si="24"/>
        <v>#N/A</v>
      </c>
      <c r="C224" s="255" t="str">
        <f t="shared" si="27"/>
        <v/>
      </c>
      <c r="D224" s="255" t="str">
        <f t="shared" si="28"/>
        <v/>
      </c>
      <c r="E224" s="255" t="str">
        <f t="shared" si="29"/>
        <v/>
      </c>
      <c r="F224" s="255" t="str">
        <f t="shared" si="25"/>
        <v/>
      </c>
      <c r="G224" s="255" t="str">
        <f t="shared" si="26"/>
        <v/>
      </c>
      <c r="H224" s="255" t="e">
        <f t="shared" si="30"/>
        <v>#N/A</v>
      </c>
      <c r="I224" s="257" t="e">
        <f t="shared" si="31"/>
        <v>#N/A</v>
      </c>
    </row>
    <row r="225" spans="1:9" ht="12.75" customHeight="1">
      <c r="A225" s="273"/>
      <c r="B225" s="255" t="e">
        <f t="shared" si="24"/>
        <v>#N/A</v>
      </c>
      <c r="C225" s="255" t="str">
        <f t="shared" si="27"/>
        <v/>
      </c>
      <c r="D225" s="255" t="str">
        <f t="shared" si="28"/>
        <v/>
      </c>
      <c r="E225" s="255" t="str">
        <f t="shared" si="29"/>
        <v/>
      </c>
      <c r="F225" s="255" t="str">
        <f t="shared" si="25"/>
        <v/>
      </c>
      <c r="G225" s="255" t="str">
        <f t="shared" si="26"/>
        <v/>
      </c>
      <c r="H225" s="255" t="e">
        <f t="shared" si="30"/>
        <v>#N/A</v>
      </c>
      <c r="I225" s="257" t="e">
        <f t="shared" si="31"/>
        <v>#N/A</v>
      </c>
    </row>
    <row r="226" spans="1:9" ht="12.75" customHeight="1">
      <c r="A226" s="273"/>
      <c r="B226" s="255" t="e">
        <f t="shared" si="24"/>
        <v>#N/A</v>
      </c>
      <c r="C226" s="255" t="str">
        <f t="shared" si="27"/>
        <v/>
      </c>
      <c r="D226" s="255" t="str">
        <f t="shared" si="28"/>
        <v/>
      </c>
      <c r="E226" s="255" t="str">
        <f t="shared" si="29"/>
        <v/>
      </c>
      <c r="F226" s="255" t="str">
        <f t="shared" si="25"/>
        <v/>
      </c>
      <c r="G226" s="255" t="str">
        <f t="shared" si="26"/>
        <v/>
      </c>
      <c r="H226" s="255" t="e">
        <f t="shared" si="30"/>
        <v>#N/A</v>
      </c>
      <c r="I226" s="257" t="e">
        <f t="shared" si="31"/>
        <v>#N/A</v>
      </c>
    </row>
    <row r="227" spans="1:9" ht="12.75" customHeight="1">
      <c r="A227" s="273"/>
      <c r="B227" s="255" t="e">
        <f t="shared" ref="B227:B290" si="32">IF(ISBLANK(A227),NA(),SMALL(A$34:A$533,C227))</f>
        <v>#N/A</v>
      </c>
      <c r="C227" s="255" t="str">
        <f t="shared" si="27"/>
        <v/>
      </c>
      <c r="D227" s="255" t="str">
        <f t="shared" si="28"/>
        <v/>
      </c>
      <c r="E227" s="255" t="str">
        <f t="shared" si="29"/>
        <v/>
      </c>
      <c r="F227" s="255" t="str">
        <f t="shared" ref="F227:F290" si="33">IF(ISBLANK(A227),"",SMALL($E$34:$E$533,C227))</f>
        <v/>
      </c>
      <c r="G227" s="255" t="str">
        <f t="shared" ref="G227:G290" si="34">IF(ISBLANK(A227),"",(2*C227-1)*(LN(F227)+LN(D227)))</f>
        <v/>
      </c>
      <c r="H227" s="255" t="e">
        <f t="shared" si="30"/>
        <v>#N/A</v>
      </c>
      <c r="I227" s="257" t="e">
        <f t="shared" si="31"/>
        <v>#N/A</v>
      </c>
    </row>
    <row r="228" spans="1:9" ht="12.75" customHeight="1">
      <c r="A228" s="273"/>
      <c r="B228" s="255" t="e">
        <f t="shared" si="32"/>
        <v>#N/A</v>
      </c>
      <c r="C228" s="255" t="str">
        <f t="shared" si="27"/>
        <v/>
      </c>
      <c r="D228" s="255" t="str">
        <f t="shared" si="28"/>
        <v/>
      </c>
      <c r="E228" s="255" t="str">
        <f t="shared" si="29"/>
        <v/>
      </c>
      <c r="F228" s="255" t="str">
        <f t="shared" si="33"/>
        <v/>
      </c>
      <c r="G228" s="255" t="str">
        <f t="shared" si="34"/>
        <v/>
      </c>
      <c r="H228" s="255" t="e">
        <f t="shared" si="30"/>
        <v>#N/A</v>
      </c>
      <c r="I228" s="257" t="e">
        <f t="shared" si="31"/>
        <v>#N/A</v>
      </c>
    </row>
    <row r="229" spans="1:9" ht="12.75" customHeight="1">
      <c r="A229" s="273"/>
      <c r="B229" s="255" t="e">
        <f t="shared" si="32"/>
        <v>#N/A</v>
      </c>
      <c r="C229" s="255" t="str">
        <f t="shared" si="27"/>
        <v/>
      </c>
      <c r="D229" s="255" t="str">
        <f t="shared" si="28"/>
        <v/>
      </c>
      <c r="E229" s="255" t="str">
        <f t="shared" si="29"/>
        <v/>
      </c>
      <c r="F229" s="255" t="str">
        <f t="shared" si="33"/>
        <v/>
      </c>
      <c r="G229" s="255" t="str">
        <f t="shared" si="34"/>
        <v/>
      </c>
      <c r="H229" s="255" t="e">
        <f t="shared" si="30"/>
        <v>#N/A</v>
      </c>
      <c r="I229" s="257" t="e">
        <f t="shared" si="31"/>
        <v>#N/A</v>
      </c>
    </row>
    <row r="230" spans="1:9" ht="12.75" customHeight="1">
      <c r="A230" s="273"/>
      <c r="B230" s="255" t="e">
        <f t="shared" si="32"/>
        <v>#N/A</v>
      </c>
      <c r="C230" s="255" t="str">
        <f t="shared" si="27"/>
        <v/>
      </c>
      <c r="D230" s="255" t="str">
        <f t="shared" si="28"/>
        <v/>
      </c>
      <c r="E230" s="255" t="str">
        <f t="shared" si="29"/>
        <v/>
      </c>
      <c r="F230" s="255" t="str">
        <f t="shared" si="33"/>
        <v/>
      </c>
      <c r="G230" s="255" t="str">
        <f t="shared" si="34"/>
        <v/>
      </c>
      <c r="H230" s="255" t="e">
        <f t="shared" si="30"/>
        <v>#N/A</v>
      </c>
      <c r="I230" s="257" t="e">
        <f t="shared" si="31"/>
        <v>#N/A</v>
      </c>
    </row>
    <row r="231" spans="1:9" ht="12.75" customHeight="1">
      <c r="A231" s="273"/>
      <c r="B231" s="255" t="e">
        <f t="shared" si="32"/>
        <v>#N/A</v>
      </c>
      <c r="C231" s="255" t="str">
        <f t="shared" si="27"/>
        <v/>
      </c>
      <c r="D231" s="255" t="str">
        <f t="shared" si="28"/>
        <v/>
      </c>
      <c r="E231" s="255" t="str">
        <f t="shared" si="29"/>
        <v/>
      </c>
      <c r="F231" s="255" t="str">
        <f t="shared" si="33"/>
        <v/>
      </c>
      <c r="G231" s="255" t="str">
        <f t="shared" si="34"/>
        <v/>
      </c>
      <c r="H231" s="255" t="e">
        <f t="shared" si="30"/>
        <v>#N/A</v>
      </c>
      <c r="I231" s="257" t="e">
        <f t="shared" si="31"/>
        <v>#N/A</v>
      </c>
    </row>
    <row r="232" spans="1:9" ht="12.75" customHeight="1">
      <c r="A232" s="273"/>
      <c r="B232" s="255" t="e">
        <f t="shared" si="32"/>
        <v>#N/A</v>
      </c>
      <c r="C232" s="255" t="str">
        <f t="shared" si="27"/>
        <v/>
      </c>
      <c r="D232" s="255" t="str">
        <f t="shared" si="28"/>
        <v/>
      </c>
      <c r="E232" s="255" t="str">
        <f t="shared" si="29"/>
        <v/>
      </c>
      <c r="F232" s="255" t="str">
        <f t="shared" si="33"/>
        <v/>
      </c>
      <c r="G232" s="255" t="str">
        <f t="shared" si="34"/>
        <v/>
      </c>
      <c r="H232" s="255" t="e">
        <f t="shared" si="30"/>
        <v>#N/A</v>
      </c>
      <c r="I232" s="257" t="e">
        <f t="shared" si="31"/>
        <v>#N/A</v>
      </c>
    </row>
    <row r="233" spans="1:9" ht="12.75" customHeight="1">
      <c r="A233" s="273"/>
      <c r="B233" s="255" t="e">
        <f t="shared" si="32"/>
        <v>#N/A</v>
      </c>
      <c r="C233" s="255" t="str">
        <f t="shared" si="27"/>
        <v/>
      </c>
      <c r="D233" s="255" t="str">
        <f t="shared" si="28"/>
        <v/>
      </c>
      <c r="E233" s="255" t="str">
        <f t="shared" si="29"/>
        <v/>
      </c>
      <c r="F233" s="255" t="str">
        <f t="shared" si="33"/>
        <v/>
      </c>
      <c r="G233" s="255" t="str">
        <f t="shared" si="34"/>
        <v/>
      </c>
      <c r="H233" s="255" t="e">
        <f t="shared" si="30"/>
        <v>#N/A</v>
      </c>
      <c r="I233" s="257" t="e">
        <f t="shared" si="31"/>
        <v>#N/A</v>
      </c>
    </row>
    <row r="234" spans="1:9" ht="12.75" customHeight="1">
      <c r="A234" s="273"/>
      <c r="B234" s="255" t="e">
        <f t="shared" si="32"/>
        <v>#N/A</v>
      </c>
      <c r="C234" s="255" t="str">
        <f t="shared" si="27"/>
        <v/>
      </c>
      <c r="D234" s="255" t="str">
        <f t="shared" si="28"/>
        <v/>
      </c>
      <c r="E234" s="255" t="str">
        <f t="shared" si="29"/>
        <v/>
      </c>
      <c r="F234" s="255" t="str">
        <f t="shared" si="33"/>
        <v/>
      </c>
      <c r="G234" s="255" t="str">
        <f t="shared" si="34"/>
        <v/>
      </c>
      <c r="H234" s="255" t="e">
        <f t="shared" si="30"/>
        <v>#N/A</v>
      </c>
      <c r="I234" s="257" t="e">
        <f t="shared" si="31"/>
        <v>#N/A</v>
      </c>
    </row>
    <row r="235" spans="1:9" ht="12.75" customHeight="1">
      <c r="A235" s="273"/>
      <c r="B235" s="255" t="e">
        <f t="shared" si="32"/>
        <v>#N/A</v>
      </c>
      <c r="C235" s="255" t="str">
        <f t="shared" si="27"/>
        <v/>
      </c>
      <c r="D235" s="255" t="str">
        <f t="shared" si="28"/>
        <v/>
      </c>
      <c r="E235" s="255" t="str">
        <f t="shared" si="29"/>
        <v/>
      </c>
      <c r="F235" s="255" t="str">
        <f t="shared" si="33"/>
        <v/>
      </c>
      <c r="G235" s="255" t="str">
        <f t="shared" si="34"/>
        <v/>
      </c>
      <c r="H235" s="255" t="e">
        <f t="shared" si="30"/>
        <v>#N/A</v>
      </c>
      <c r="I235" s="257" t="e">
        <f t="shared" si="31"/>
        <v>#N/A</v>
      </c>
    </row>
    <row r="236" spans="1:9" ht="12.75" customHeight="1">
      <c r="A236" s="273"/>
      <c r="B236" s="255" t="e">
        <f t="shared" si="32"/>
        <v>#N/A</v>
      </c>
      <c r="C236" s="255" t="str">
        <f t="shared" si="27"/>
        <v/>
      </c>
      <c r="D236" s="255" t="str">
        <f t="shared" si="28"/>
        <v/>
      </c>
      <c r="E236" s="255" t="str">
        <f t="shared" si="29"/>
        <v/>
      </c>
      <c r="F236" s="255" t="str">
        <f t="shared" si="33"/>
        <v/>
      </c>
      <c r="G236" s="255" t="str">
        <f t="shared" si="34"/>
        <v/>
      </c>
      <c r="H236" s="255" t="e">
        <f t="shared" si="30"/>
        <v>#N/A</v>
      </c>
      <c r="I236" s="257" t="e">
        <f t="shared" si="31"/>
        <v>#N/A</v>
      </c>
    </row>
    <row r="237" spans="1:9" ht="12.75" customHeight="1">
      <c r="A237" s="273"/>
      <c r="B237" s="255" t="e">
        <f t="shared" si="32"/>
        <v>#N/A</v>
      </c>
      <c r="C237" s="255" t="str">
        <f t="shared" si="27"/>
        <v/>
      </c>
      <c r="D237" s="255" t="str">
        <f t="shared" si="28"/>
        <v/>
      </c>
      <c r="E237" s="255" t="str">
        <f t="shared" si="29"/>
        <v/>
      </c>
      <c r="F237" s="255" t="str">
        <f t="shared" si="33"/>
        <v/>
      </c>
      <c r="G237" s="255" t="str">
        <f t="shared" si="34"/>
        <v/>
      </c>
      <c r="H237" s="255" t="e">
        <f t="shared" si="30"/>
        <v>#N/A</v>
      </c>
      <c r="I237" s="257" t="e">
        <f t="shared" si="31"/>
        <v>#N/A</v>
      </c>
    </row>
    <row r="238" spans="1:9" ht="12.75" customHeight="1">
      <c r="A238" s="273"/>
      <c r="B238" s="255" t="e">
        <f t="shared" si="32"/>
        <v>#N/A</v>
      </c>
      <c r="C238" s="255" t="str">
        <f t="shared" si="27"/>
        <v/>
      </c>
      <c r="D238" s="255" t="str">
        <f t="shared" si="28"/>
        <v/>
      </c>
      <c r="E238" s="255" t="str">
        <f t="shared" si="29"/>
        <v/>
      </c>
      <c r="F238" s="255" t="str">
        <f t="shared" si="33"/>
        <v/>
      </c>
      <c r="G238" s="255" t="str">
        <f t="shared" si="34"/>
        <v/>
      </c>
      <c r="H238" s="255" t="e">
        <f t="shared" si="30"/>
        <v>#N/A</v>
      </c>
      <c r="I238" s="257" t="e">
        <f t="shared" si="31"/>
        <v>#N/A</v>
      </c>
    </row>
    <row r="239" spans="1:9" ht="12.75" customHeight="1">
      <c r="A239" s="273"/>
      <c r="B239" s="255" t="e">
        <f t="shared" si="32"/>
        <v>#N/A</v>
      </c>
      <c r="C239" s="255" t="str">
        <f t="shared" si="27"/>
        <v/>
      </c>
      <c r="D239" s="255" t="str">
        <f t="shared" si="28"/>
        <v/>
      </c>
      <c r="E239" s="255" t="str">
        <f t="shared" si="29"/>
        <v/>
      </c>
      <c r="F239" s="255" t="str">
        <f t="shared" si="33"/>
        <v/>
      </c>
      <c r="G239" s="255" t="str">
        <f t="shared" si="34"/>
        <v/>
      </c>
      <c r="H239" s="255" t="e">
        <f t="shared" si="30"/>
        <v>#N/A</v>
      </c>
      <c r="I239" s="257" t="e">
        <f t="shared" si="31"/>
        <v>#N/A</v>
      </c>
    </row>
    <row r="240" spans="1:9" ht="12.75" customHeight="1">
      <c r="A240" s="273"/>
      <c r="B240" s="255" t="e">
        <f t="shared" si="32"/>
        <v>#N/A</v>
      </c>
      <c r="C240" s="255" t="str">
        <f t="shared" si="27"/>
        <v/>
      </c>
      <c r="D240" s="255" t="str">
        <f t="shared" si="28"/>
        <v/>
      </c>
      <c r="E240" s="255" t="str">
        <f t="shared" si="29"/>
        <v/>
      </c>
      <c r="F240" s="255" t="str">
        <f t="shared" si="33"/>
        <v/>
      </c>
      <c r="G240" s="255" t="str">
        <f t="shared" si="34"/>
        <v/>
      </c>
      <c r="H240" s="255" t="e">
        <f t="shared" si="30"/>
        <v>#N/A</v>
      </c>
      <c r="I240" s="257" t="e">
        <f t="shared" si="31"/>
        <v>#N/A</v>
      </c>
    </row>
    <row r="241" spans="1:9" ht="12.75" customHeight="1">
      <c r="A241" s="273"/>
      <c r="B241" s="255" t="e">
        <f t="shared" si="32"/>
        <v>#N/A</v>
      </c>
      <c r="C241" s="255" t="str">
        <f t="shared" si="27"/>
        <v/>
      </c>
      <c r="D241" s="255" t="str">
        <f t="shared" si="28"/>
        <v/>
      </c>
      <c r="E241" s="255" t="str">
        <f t="shared" si="29"/>
        <v/>
      </c>
      <c r="F241" s="255" t="str">
        <f t="shared" si="33"/>
        <v/>
      </c>
      <c r="G241" s="255" t="str">
        <f t="shared" si="34"/>
        <v/>
      </c>
      <c r="H241" s="255" t="e">
        <f t="shared" si="30"/>
        <v>#N/A</v>
      </c>
      <c r="I241" s="257" t="e">
        <f t="shared" si="31"/>
        <v>#N/A</v>
      </c>
    </row>
    <row r="242" spans="1:9" ht="12.75" customHeight="1">
      <c r="A242" s="273"/>
      <c r="B242" s="255" t="e">
        <f t="shared" si="32"/>
        <v>#N/A</v>
      </c>
      <c r="C242" s="255" t="str">
        <f t="shared" si="27"/>
        <v/>
      </c>
      <c r="D242" s="255" t="str">
        <f t="shared" si="28"/>
        <v/>
      </c>
      <c r="E242" s="255" t="str">
        <f t="shared" si="29"/>
        <v/>
      </c>
      <c r="F242" s="255" t="str">
        <f t="shared" si="33"/>
        <v/>
      </c>
      <c r="G242" s="255" t="str">
        <f t="shared" si="34"/>
        <v/>
      </c>
      <c r="H242" s="255" t="e">
        <f t="shared" si="30"/>
        <v>#N/A</v>
      </c>
      <c r="I242" s="257" t="e">
        <f t="shared" si="31"/>
        <v>#N/A</v>
      </c>
    </row>
    <row r="243" spans="1:9" ht="12.75" customHeight="1">
      <c r="A243" s="273"/>
      <c r="B243" s="255" t="e">
        <f t="shared" si="32"/>
        <v>#N/A</v>
      </c>
      <c r="C243" s="255" t="str">
        <f t="shared" si="27"/>
        <v/>
      </c>
      <c r="D243" s="255" t="str">
        <f t="shared" si="28"/>
        <v/>
      </c>
      <c r="E243" s="255" t="str">
        <f t="shared" si="29"/>
        <v/>
      </c>
      <c r="F243" s="255" t="str">
        <f t="shared" si="33"/>
        <v/>
      </c>
      <c r="G243" s="255" t="str">
        <f t="shared" si="34"/>
        <v/>
      </c>
      <c r="H243" s="255" t="e">
        <f t="shared" si="30"/>
        <v>#N/A</v>
      </c>
      <c r="I243" s="257" t="e">
        <f t="shared" si="31"/>
        <v>#N/A</v>
      </c>
    </row>
    <row r="244" spans="1:9" ht="12.75" customHeight="1">
      <c r="A244" s="273"/>
      <c r="B244" s="255" t="e">
        <f t="shared" si="32"/>
        <v>#N/A</v>
      </c>
      <c r="C244" s="255" t="str">
        <f t="shared" si="27"/>
        <v/>
      </c>
      <c r="D244" s="255" t="str">
        <f t="shared" si="28"/>
        <v/>
      </c>
      <c r="E244" s="255" t="str">
        <f t="shared" si="29"/>
        <v/>
      </c>
      <c r="F244" s="255" t="str">
        <f t="shared" si="33"/>
        <v/>
      </c>
      <c r="G244" s="255" t="str">
        <f t="shared" si="34"/>
        <v/>
      </c>
      <c r="H244" s="255" t="e">
        <f t="shared" si="30"/>
        <v>#N/A</v>
      </c>
      <c r="I244" s="257" t="e">
        <f t="shared" si="31"/>
        <v>#N/A</v>
      </c>
    </row>
    <row r="245" spans="1:9" ht="12.75" customHeight="1">
      <c r="A245" s="273"/>
      <c r="B245" s="255" t="e">
        <f t="shared" si="32"/>
        <v>#N/A</v>
      </c>
      <c r="C245" s="255" t="str">
        <f t="shared" si="27"/>
        <v/>
      </c>
      <c r="D245" s="255" t="str">
        <f t="shared" si="28"/>
        <v/>
      </c>
      <c r="E245" s="255" t="str">
        <f t="shared" si="29"/>
        <v/>
      </c>
      <c r="F245" s="255" t="str">
        <f t="shared" si="33"/>
        <v/>
      </c>
      <c r="G245" s="255" t="str">
        <f t="shared" si="34"/>
        <v/>
      </c>
      <c r="H245" s="255" t="e">
        <f t="shared" si="30"/>
        <v>#N/A</v>
      </c>
      <c r="I245" s="257" t="e">
        <f t="shared" si="31"/>
        <v>#N/A</v>
      </c>
    </row>
    <row r="246" spans="1:9" ht="12.75" customHeight="1">
      <c r="A246" s="273"/>
      <c r="B246" s="255" t="e">
        <f t="shared" si="32"/>
        <v>#N/A</v>
      </c>
      <c r="C246" s="255" t="str">
        <f t="shared" si="27"/>
        <v/>
      </c>
      <c r="D246" s="255" t="str">
        <f t="shared" si="28"/>
        <v/>
      </c>
      <c r="E246" s="255" t="str">
        <f t="shared" si="29"/>
        <v/>
      </c>
      <c r="F246" s="255" t="str">
        <f t="shared" si="33"/>
        <v/>
      </c>
      <c r="G246" s="255" t="str">
        <f t="shared" si="34"/>
        <v/>
      </c>
      <c r="H246" s="255" t="e">
        <f t="shared" si="30"/>
        <v>#N/A</v>
      </c>
      <c r="I246" s="257" t="e">
        <f t="shared" si="31"/>
        <v>#N/A</v>
      </c>
    </row>
    <row r="247" spans="1:9" ht="12.75" customHeight="1">
      <c r="A247" s="273"/>
      <c r="B247" s="255" t="e">
        <f t="shared" si="32"/>
        <v>#N/A</v>
      </c>
      <c r="C247" s="255" t="str">
        <f t="shared" si="27"/>
        <v/>
      </c>
      <c r="D247" s="255" t="str">
        <f t="shared" si="28"/>
        <v/>
      </c>
      <c r="E247" s="255" t="str">
        <f t="shared" si="29"/>
        <v/>
      </c>
      <c r="F247" s="255" t="str">
        <f t="shared" si="33"/>
        <v/>
      </c>
      <c r="G247" s="255" t="str">
        <f t="shared" si="34"/>
        <v/>
      </c>
      <c r="H247" s="255" t="e">
        <f t="shared" si="30"/>
        <v>#N/A</v>
      </c>
      <c r="I247" s="257" t="e">
        <f t="shared" si="31"/>
        <v>#N/A</v>
      </c>
    </row>
    <row r="248" spans="1:9" ht="12.75" customHeight="1">
      <c r="A248" s="273"/>
      <c r="B248" s="255" t="e">
        <f t="shared" si="32"/>
        <v>#N/A</v>
      </c>
      <c r="C248" s="255" t="str">
        <f t="shared" si="27"/>
        <v/>
      </c>
      <c r="D248" s="255" t="str">
        <f t="shared" si="28"/>
        <v/>
      </c>
      <c r="E248" s="255" t="str">
        <f t="shared" si="29"/>
        <v/>
      </c>
      <c r="F248" s="255" t="str">
        <f t="shared" si="33"/>
        <v/>
      </c>
      <c r="G248" s="255" t="str">
        <f t="shared" si="34"/>
        <v/>
      </c>
      <c r="H248" s="255" t="e">
        <f t="shared" si="30"/>
        <v>#N/A</v>
      </c>
      <c r="I248" s="257" t="e">
        <f t="shared" si="31"/>
        <v>#N/A</v>
      </c>
    </row>
    <row r="249" spans="1:9" ht="12.75" customHeight="1">
      <c r="A249" s="273"/>
      <c r="B249" s="255" t="e">
        <f t="shared" si="32"/>
        <v>#N/A</v>
      </c>
      <c r="C249" s="255" t="str">
        <f t="shared" si="27"/>
        <v/>
      </c>
      <c r="D249" s="255" t="str">
        <f t="shared" si="28"/>
        <v/>
      </c>
      <c r="E249" s="255" t="str">
        <f t="shared" si="29"/>
        <v/>
      </c>
      <c r="F249" s="255" t="str">
        <f t="shared" si="33"/>
        <v/>
      </c>
      <c r="G249" s="255" t="str">
        <f t="shared" si="34"/>
        <v/>
      </c>
      <c r="H249" s="255" t="e">
        <f t="shared" si="30"/>
        <v>#N/A</v>
      </c>
      <c r="I249" s="257" t="e">
        <f t="shared" si="31"/>
        <v>#N/A</v>
      </c>
    </row>
    <row r="250" spans="1:9" ht="12.75" customHeight="1">
      <c r="A250" s="273"/>
      <c r="B250" s="255" t="e">
        <f t="shared" si="32"/>
        <v>#N/A</v>
      </c>
      <c r="C250" s="255" t="str">
        <f t="shared" si="27"/>
        <v/>
      </c>
      <c r="D250" s="255" t="str">
        <f t="shared" si="28"/>
        <v/>
      </c>
      <c r="E250" s="255" t="str">
        <f t="shared" si="29"/>
        <v/>
      </c>
      <c r="F250" s="255" t="str">
        <f t="shared" si="33"/>
        <v/>
      </c>
      <c r="G250" s="255" t="str">
        <f t="shared" si="34"/>
        <v/>
      </c>
      <c r="H250" s="255" t="e">
        <f t="shared" si="30"/>
        <v>#N/A</v>
      </c>
      <c r="I250" s="257" t="e">
        <f t="shared" si="31"/>
        <v>#N/A</v>
      </c>
    </row>
    <row r="251" spans="1:9" ht="12.75" customHeight="1">
      <c r="A251" s="273"/>
      <c r="B251" s="255" t="e">
        <f t="shared" si="32"/>
        <v>#N/A</v>
      </c>
      <c r="C251" s="255" t="str">
        <f t="shared" si="27"/>
        <v/>
      </c>
      <c r="D251" s="255" t="str">
        <f t="shared" si="28"/>
        <v/>
      </c>
      <c r="E251" s="255" t="str">
        <f t="shared" si="29"/>
        <v/>
      </c>
      <c r="F251" s="255" t="str">
        <f t="shared" si="33"/>
        <v/>
      </c>
      <c r="G251" s="255" t="str">
        <f t="shared" si="34"/>
        <v/>
      </c>
      <c r="H251" s="255" t="e">
        <f t="shared" si="30"/>
        <v>#N/A</v>
      </c>
      <c r="I251" s="257" t="e">
        <f t="shared" si="31"/>
        <v>#N/A</v>
      </c>
    </row>
    <row r="252" spans="1:9" ht="12.75" customHeight="1">
      <c r="A252" s="273"/>
      <c r="B252" s="255" t="e">
        <f t="shared" si="32"/>
        <v>#N/A</v>
      </c>
      <c r="C252" s="255" t="str">
        <f t="shared" si="27"/>
        <v/>
      </c>
      <c r="D252" s="255" t="str">
        <f t="shared" si="28"/>
        <v/>
      </c>
      <c r="E252" s="255" t="str">
        <f t="shared" si="29"/>
        <v/>
      </c>
      <c r="F252" s="255" t="str">
        <f t="shared" si="33"/>
        <v/>
      </c>
      <c r="G252" s="255" t="str">
        <f t="shared" si="34"/>
        <v/>
      </c>
      <c r="H252" s="255" t="e">
        <f t="shared" si="30"/>
        <v>#N/A</v>
      </c>
      <c r="I252" s="257" t="e">
        <f t="shared" si="31"/>
        <v>#N/A</v>
      </c>
    </row>
    <row r="253" spans="1:9" ht="12.75" customHeight="1">
      <c r="A253" s="273"/>
      <c r="B253" s="255" t="e">
        <f t="shared" si="32"/>
        <v>#N/A</v>
      </c>
      <c r="C253" s="255" t="str">
        <f t="shared" si="27"/>
        <v/>
      </c>
      <c r="D253" s="255" t="str">
        <f t="shared" si="28"/>
        <v/>
      </c>
      <c r="E253" s="255" t="str">
        <f t="shared" si="29"/>
        <v/>
      </c>
      <c r="F253" s="255" t="str">
        <f t="shared" si="33"/>
        <v/>
      </c>
      <c r="G253" s="255" t="str">
        <f t="shared" si="34"/>
        <v/>
      </c>
      <c r="H253" s="255" t="e">
        <f t="shared" si="30"/>
        <v>#N/A</v>
      </c>
      <c r="I253" s="257" t="e">
        <f t="shared" si="31"/>
        <v>#N/A</v>
      </c>
    </row>
    <row r="254" spans="1:9" ht="12.75" customHeight="1">
      <c r="A254" s="273"/>
      <c r="B254" s="255" t="e">
        <f t="shared" si="32"/>
        <v>#N/A</v>
      </c>
      <c r="C254" s="255" t="str">
        <f t="shared" si="27"/>
        <v/>
      </c>
      <c r="D254" s="255" t="str">
        <f t="shared" si="28"/>
        <v/>
      </c>
      <c r="E254" s="255" t="str">
        <f t="shared" si="29"/>
        <v/>
      </c>
      <c r="F254" s="255" t="str">
        <f t="shared" si="33"/>
        <v/>
      </c>
      <c r="G254" s="255" t="str">
        <f t="shared" si="34"/>
        <v/>
      </c>
      <c r="H254" s="255" t="e">
        <f t="shared" si="30"/>
        <v>#N/A</v>
      </c>
      <c r="I254" s="257" t="e">
        <f t="shared" si="31"/>
        <v>#N/A</v>
      </c>
    </row>
    <row r="255" spans="1:9" ht="12.75" customHeight="1">
      <c r="A255" s="273"/>
      <c r="B255" s="255" t="e">
        <f t="shared" si="32"/>
        <v>#N/A</v>
      </c>
      <c r="C255" s="255" t="str">
        <f t="shared" si="27"/>
        <v/>
      </c>
      <c r="D255" s="255" t="str">
        <f t="shared" si="28"/>
        <v/>
      </c>
      <c r="E255" s="255" t="str">
        <f t="shared" si="29"/>
        <v/>
      </c>
      <c r="F255" s="255" t="str">
        <f t="shared" si="33"/>
        <v/>
      </c>
      <c r="G255" s="255" t="str">
        <f t="shared" si="34"/>
        <v/>
      </c>
      <c r="H255" s="255" t="e">
        <f t="shared" si="30"/>
        <v>#N/A</v>
      </c>
      <c r="I255" s="257" t="e">
        <f t="shared" si="31"/>
        <v>#N/A</v>
      </c>
    </row>
    <row r="256" spans="1:9" ht="12.75" customHeight="1">
      <c r="A256" s="273"/>
      <c r="B256" s="255" t="e">
        <f t="shared" si="32"/>
        <v>#N/A</v>
      </c>
      <c r="C256" s="255" t="str">
        <f t="shared" si="27"/>
        <v/>
      </c>
      <c r="D256" s="255" t="str">
        <f t="shared" si="28"/>
        <v/>
      </c>
      <c r="E256" s="255" t="str">
        <f t="shared" si="29"/>
        <v/>
      </c>
      <c r="F256" s="255" t="str">
        <f t="shared" si="33"/>
        <v/>
      </c>
      <c r="G256" s="255" t="str">
        <f t="shared" si="34"/>
        <v/>
      </c>
      <c r="H256" s="255" t="e">
        <f t="shared" si="30"/>
        <v>#N/A</v>
      </c>
      <c r="I256" s="257" t="e">
        <f t="shared" si="31"/>
        <v>#N/A</v>
      </c>
    </row>
    <row r="257" spans="1:9" ht="12.75" customHeight="1">
      <c r="A257" s="273"/>
      <c r="B257" s="255" t="e">
        <f t="shared" si="32"/>
        <v>#N/A</v>
      </c>
      <c r="C257" s="255" t="str">
        <f t="shared" si="27"/>
        <v/>
      </c>
      <c r="D257" s="255" t="str">
        <f t="shared" si="28"/>
        <v/>
      </c>
      <c r="E257" s="255" t="str">
        <f t="shared" si="29"/>
        <v/>
      </c>
      <c r="F257" s="255" t="str">
        <f t="shared" si="33"/>
        <v/>
      </c>
      <c r="G257" s="255" t="str">
        <f t="shared" si="34"/>
        <v/>
      </c>
      <c r="H257" s="255" t="e">
        <f t="shared" si="30"/>
        <v>#N/A</v>
      </c>
      <c r="I257" s="257" t="e">
        <f t="shared" si="31"/>
        <v>#N/A</v>
      </c>
    </row>
    <row r="258" spans="1:9" ht="12.75" customHeight="1">
      <c r="A258" s="273"/>
      <c r="B258" s="255" t="e">
        <f t="shared" si="32"/>
        <v>#N/A</v>
      </c>
      <c r="C258" s="255" t="str">
        <f t="shared" si="27"/>
        <v/>
      </c>
      <c r="D258" s="255" t="str">
        <f t="shared" si="28"/>
        <v/>
      </c>
      <c r="E258" s="255" t="str">
        <f t="shared" si="29"/>
        <v/>
      </c>
      <c r="F258" s="255" t="str">
        <f t="shared" si="33"/>
        <v/>
      </c>
      <c r="G258" s="255" t="str">
        <f t="shared" si="34"/>
        <v/>
      </c>
      <c r="H258" s="255" t="e">
        <f t="shared" si="30"/>
        <v>#N/A</v>
      </c>
      <c r="I258" s="257" t="e">
        <f t="shared" si="31"/>
        <v>#N/A</v>
      </c>
    </row>
    <row r="259" spans="1:9" ht="12.75" customHeight="1">
      <c r="A259" s="273"/>
      <c r="B259" s="255" t="e">
        <f t="shared" si="32"/>
        <v>#N/A</v>
      </c>
      <c r="C259" s="255" t="str">
        <f t="shared" si="27"/>
        <v/>
      </c>
      <c r="D259" s="255" t="str">
        <f t="shared" si="28"/>
        <v/>
      </c>
      <c r="E259" s="255" t="str">
        <f t="shared" si="29"/>
        <v/>
      </c>
      <c r="F259" s="255" t="str">
        <f t="shared" si="33"/>
        <v/>
      </c>
      <c r="G259" s="255" t="str">
        <f t="shared" si="34"/>
        <v/>
      </c>
      <c r="H259" s="255" t="e">
        <f t="shared" si="30"/>
        <v>#N/A</v>
      </c>
      <c r="I259" s="257" t="e">
        <f t="shared" si="31"/>
        <v>#N/A</v>
      </c>
    </row>
    <row r="260" spans="1:9" ht="12.75" customHeight="1">
      <c r="A260" s="273"/>
      <c r="B260" s="255" t="e">
        <f t="shared" si="32"/>
        <v>#N/A</v>
      </c>
      <c r="C260" s="255" t="str">
        <f t="shared" si="27"/>
        <v/>
      </c>
      <c r="D260" s="255" t="str">
        <f t="shared" si="28"/>
        <v/>
      </c>
      <c r="E260" s="255" t="str">
        <f t="shared" si="29"/>
        <v/>
      </c>
      <c r="F260" s="255" t="str">
        <f t="shared" si="33"/>
        <v/>
      </c>
      <c r="G260" s="255" t="str">
        <f t="shared" si="34"/>
        <v/>
      </c>
      <c r="H260" s="255" t="e">
        <f t="shared" si="30"/>
        <v>#N/A</v>
      </c>
      <c r="I260" s="257" t="e">
        <f t="shared" si="31"/>
        <v>#N/A</v>
      </c>
    </row>
    <row r="261" spans="1:9" ht="12.75" customHeight="1">
      <c r="A261" s="273"/>
      <c r="B261" s="255" t="e">
        <f t="shared" si="32"/>
        <v>#N/A</v>
      </c>
      <c r="C261" s="255" t="str">
        <f t="shared" ref="C261:C324" si="35">IF(ISBLANK(A261),"",C260+1)</f>
        <v/>
      </c>
      <c r="D261" s="255" t="str">
        <f t="shared" ref="D261:D324" si="36">IF(ISBLANK(A261),"",NORMSDIST((B261-$B$24)/$B$25))</f>
        <v/>
      </c>
      <c r="E261" s="255" t="str">
        <f t="shared" ref="E261:E324" si="37">IF(ISBLANK(A261),"",1-D261)</f>
        <v/>
      </c>
      <c r="F261" s="255" t="str">
        <f t="shared" si="33"/>
        <v/>
      </c>
      <c r="G261" s="255" t="str">
        <f t="shared" si="34"/>
        <v/>
      </c>
      <c r="H261" s="255" t="e">
        <f t="shared" ref="H261:H324" si="38">IF(A261="",NA(),NORMINV((C261-3/8)/($B$23+1/4),$B$24,$B$25))</f>
        <v>#N/A</v>
      </c>
      <c r="I261" s="257" t="e">
        <f t="shared" ref="I261:I324" si="39">IF(B261="",NA(),(C261-3/8)/($B$23+1/4))</f>
        <v>#N/A</v>
      </c>
    </row>
    <row r="262" spans="1:9" ht="12.75" customHeight="1">
      <c r="A262" s="273"/>
      <c r="B262" s="255" t="e">
        <f t="shared" si="32"/>
        <v>#N/A</v>
      </c>
      <c r="C262" s="255" t="str">
        <f t="shared" si="35"/>
        <v/>
      </c>
      <c r="D262" s="255" t="str">
        <f t="shared" si="36"/>
        <v/>
      </c>
      <c r="E262" s="255" t="str">
        <f t="shared" si="37"/>
        <v/>
      </c>
      <c r="F262" s="255" t="str">
        <f t="shared" si="33"/>
        <v/>
      </c>
      <c r="G262" s="255" t="str">
        <f t="shared" si="34"/>
        <v/>
      </c>
      <c r="H262" s="255" t="e">
        <f t="shared" si="38"/>
        <v>#N/A</v>
      </c>
      <c r="I262" s="257" t="e">
        <f t="shared" si="39"/>
        <v>#N/A</v>
      </c>
    </row>
    <row r="263" spans="1:9" ht="12.75" customHeight="1">
      <c r="A263" s="273"/>
      <c r="B263" s="255" t="e">
        <f t="shared" si="32"/>
        <v>#N/A</v>
      </c>
      <c r="C263" s="255" t="str">
        <f t="shared" si="35"/>
        <v/>
      </c>
      <c r="D263" s="255" t="str">
        <f t="shared" si="36"/>
        <v/>
      </c>
      <c r="E263" s="255" t="str">
        <f t="shared" si="37"/>
        <v/>
      </c>
      <c r="F263" s="255" t="str">
        <f t="shared" si="33"/>
        <v/>
      </c>
      <c r="G263" s="255" t="str">
        <f t="shared" si="34"/>
        <v/>
      </c>
      <c r="H263" s="255" t="e">
        <f t="shared" si="38"/>
        <v>#N/A</v>
      </c>
      <c r="I263" s="257" t="e">
        <f t="shared" si="39"/>
        <v>#N/A</v>
      </c>
    </row>
    <row r="264" spans="1:9" ht="12.75" customHeight="1">
      <c r="A264" s="273"/>
      <c r="B264" s="255" t="e">
        <f t="shared" si="32"/>
        <v>#N/A</v>
      </c>
      <c r="C264" s="255" t="str">
        <f t="shared" si="35"/>
        <v/>
      </c>
      <c r="D264" s="255" t="str">
        <f t="shared" si="36"/>
        <v/>
      </c>
      <c r="E264" s="255" t="str">
        <f t="shared" si="37"/>
        <v/>
      </c>
      <c r="F264" s="255" t="str">
        <f t="shared" si="33"/>
        <v/>
      </c>
      <c r="G264" s="255" t="str">
        <f t="shared" si="34"/>
        <v/>
      </c>
      <c r="H264" s="255" t="e">
        <f t="shared" si="38"/>
        <v>#N/A</v>
      </c>
      <c r="I264" s="257" t="e">
        <f t="shared" si="39"/>
        <v>#N/A</v>
      </c>
    </row>
    <row r="265" spans="1:9" ht="12.75" customHeight="1">
      <c r="A265" s="273"/>
      <c r="B265" s="255" t="e">
        <f t="shared" si="32"/>
        <v>#N/A</v>
      </c>
      <c r="C265" s="255" t="str">
        <f t="shared" si="35"/>
        <v/>
      </c>
      <c r="D265" s="255" t="str">
        <f t="shared" si="36"/>
        <v/>
      </c>
      <c r="E265" s="255" t="str">
        <f t="shared" si="37"/>
        <v/>
      </c>
      <c r="F265" s="255" t="str">
        <f t="shared" si="33"/>
        <v/>
      </c>
      <c r="G265" s="255" t="str">
        <f t="shared" si="34"/>
        <v/>
      </c>
      <c r="H265" s="255" t="e">
        <f t="shared" si="38"/>
        <v>#N/A</v>
      </c>
      <c r="I265" s="257" t="e">
        <f t="shared" si="39"/>
        <v>#N/A</v>
      </c>
    </row>
    <row r="266" spans="1:9" ht="12.75" customHeight="1">
      <c r="A266" s="273"/>
      <c r="B266" s="255" t="e">
        <f t="shared" si="32"/>
        <v>#N/A</v>
      </c>
      <c r="C266" s="255" t="str">
        <f t="shared" si="35"/>
        <v/>
      </c>
      <c r="D266" s="255" t="str">
        <f t="shared" si="36"/>
        <v/>
      </c>
      <c r="E266" s="255" t="str">
        <f t="shared" si="37"/>
        <v/>
      </c>
      <c r="F266" s="255" t="str">
        <f t="shared" si="33"/>
        <v/>
      </c>
      <c r="G266" s="255" t="str">
        <f t="shared" si="34"/>
        <v/>
      </c>
      <c r="H266" s="255" t="e">
        <f t="shared" si="38"/>
        <v>#N/A</v>
      </c>
      <c r="I266" s="257" t="e">
        <f t="shared" si="39"/>
        <v>#N/A</v>
      </c>
    </row>
    <row r="267" spans="1:9" ht="12.75" customHeight="1">
      <c r="A267" s="273"/>
      <c r="B267" s="255" t="e">
        <f t="shared" si="32"/>
        <v>#N/A</v>
      </c>
      <c r="C267" s="255" t="str">
        <f t="shared" si="35"/>
        <v/>
      </c>
      <c r="D267" s="255" t="str">
        <f t="shared" si="36"/>
        <v/>
      </c>
      <c r="E267" s="255" t="str">
        <f t="shared" si="37"/>
        <v/>
      </c>
      <c r="F267" s="255" t="str">
        <f t="shared" si="33"/>
        <v/>
      </c>
      <c r="G267" s="255" t="str">
        <f t="shared" si="34"/>
        <v/>
      </c>
      <c r="H267" s="255" t="e">
        <f t="shared" si="38"/>
        <v>#N/A</v>
      </c>
      <c r="I267" s="257" t="e">
        <f t="shared" si="39"/>
        <v>#N/A</v>
      </c>
    </row>
    <row r="268" spans="1:9" ht="12.75" customHeight="1">
      <c r="A268" s="273"/>
      <c r="B268" s="255" t="e">
        <f t="shared" si="32"/>
        <v>#N/A</v>
      </c>
      <c r="C268" s="255" t="str">
        <f t="shared" si="35"/>
        <v/>
      </c>
      <c r="D268" s="255" t="str">
        <f t="shared" si="36"/>
        <v/>
      </c>
      <c r="E268" s="255" t="str">
        <f t="shared" si="37"/>
        <v/>
      </c>
      <c r="F268" s="255" t="str">
        <f t="shared" si="33"/>
        <v/>
      </c>
      <c r="G268" s="255" t="str">
        <f t="shared" si="34"/>
        <v/>
      </c>
      <c r="H268" s="255" t="e">
        <f t="shared" si="38"/>
        <v>#N/A</v>
      </c>
      <c r="I268" s="257" t="e">
        <f t="shared" si="39"/>
        <v>#N/A</v>
      </c>
    </row>
    <row r="269" spans="1:9" ht="12.75" customHeight="1">
      <c r="A269" s="273"/>
      <c r="B269" s="255" t="e">
        <f t="shared" si="32"/>
        <v>#N/A</v>
      </c>
      <c r="C269" s="255" t="str">
        <f t="shared" si="35"/>
        <v/>
      </c>
      <c r="D269" s="255" t="str">
        <f t="shared" si="36"/>
        <v/>
      </c>
      <c r="E269" s="255" t="str">
        <f t="shared" si="37"/>
        <v/>
      </c>
      <c r="F269" s="255" t="str">
        <f t="shared" si="33"/>
        <v/>
      </c>
      <c r="G269" s="255" t="str">
        <f t="shared" si="34"/>
        <v/>
      </c>
      <c r="H269" s="255" t="e">
        <f t="shared" si="38"/>
        <v>#N/A</v>
      </c>
      <c r="I269" s="257" t="e">
        <f t="shared" si="39"/>
        <v>#N/A</v>
      </c>
    </row>
    <row r="270" spans="1:9" ht="12.75" customHeight="1">
      <c r="A270" s="273"/>
      <c r="B270" s="255" t="e">
        <f t="shared" si="32"/>
        <v>#N/A</v>
      </c>
      <c r="C270" s="255" t="str">
        <f t="shared" si="35"/>
        <v/>
      </c>
      <c r="D270" s="255" t="str">
        <f t="shared" si="36"/>
        <v/>
      </c>
      <c r="E270" s="255" t="str">
        <f t="shared" si="37"/>
        <v/>
      </c>
      <c r="F270" s="255" t="str">
        <f t="shared" si="33"/>
        <v/>
      </c>
      <c r="G270" s="255" t="str">
        <f t="shared" si="34"/>
        <v/>
      </c>
      <c r="H270" s="255" t="e">
        <f t="shared" si="38"/>
        <v>#N/A</v>
      </c>
      <c r="I270" s="257" t="e">
        <f t="shared" si="39"/>
        <v>#N/A</v>
      </c>
    </row>
    <row r="271" spans="1:9" ht="12.75" customHeight="1">
      <c r="A271" s="273"/>
      <c r="B271" s="255" t="e">
        <f t="shared" si="32"/>
        <v>#N/A</v>
      </c>
      <c r="C271" s="255" t="str">
        <f t="shared" si="35"/>
        <v/>
      </c>
      <c r="D271" s="255" t="str">
        <f t="shared" si="36"/>
        <v/>
      </c>
      <c r="E271" s="255" t="str">
        <f t="shared" si="37"/>
        <v/>
      </c>
      <c r="F271" s="255" t="str">
        <f t="shared" si="33"/>
        <v/>
      </c>
      <c r="G271" s="255" t="str">
        <f t="shared" si="34"/>
        <v/>
      </c>
      <c r="H271" s="255" t="e">
        <f t="shared" si="38"/>
        <v>#N/A</v>
      </c>
      <c r="I271" s="257" t="e">
        <f t="shared" si="39"/>
        <v>#N/A</v>
      </c>
    </row>
    <row r="272" spans="1:9" ht="12.75" customHeight="1">
      <c r="A272" s="273"/>
      <c r="B272" s="255" t="e">
        <f t="shared" si="32"/>
        <v>#N/A</v>
      </c>
      <c r="C272" s="255" t="str">
        <f t="shared" si="35"/>
        <v/>
      </c>
      <c r="D272" s="255" t="str">
        <f t="shared" si="36"/>
        <v/>
      </c>
      <c r="E272" s="255" t="str">
        <f t="shared" si="37"/>
        <v/>
      </c>
      <c r="F272" s="255" t="str">
        <f t="shared" si="33"/>
        <v/>
      </c>
      <c r="G272" s="255" t="str">
        <f t="shared" si="34"/>
        <v/>
      </c>
      <c r="H272" s="255" t="e">
        <f t="shared" si="38"/>
        <v>#N/A</v>
      </c>
      <c r="I272" s="257" t="e">
        <f t="shared" si="39"/>
        <v>#N/A</v>
      </c>
    </row>
    <row r="273" spans="1:9" ht="12.75" customHeight="1">
      <c r="A273" s="273"/>
      <c r="B273" s="255" t="e">
        <f t="shared" si="32"/>
        <v>#N/A</v>
      </c>
      <c r="C273" s="255" t="str">
        <f t="shared" si="35"/>
        <v/>
      </c>
      <c r="D273" s="255" t="str">
        <f t="shared" si="36"/>
        <v/>
      </c>
      <c r="E273" s="255" t="str">
        <f t="shared" si="37"/>
        <v/>
      </c>
      <c r="F273" s="255" t="str">
        <f t="shared" si="33"/>
        <v/>
      </c>
      <c r="G273" s="255" t="str">
        <f t="shared" si="34"/>
        <v/>
      </c>
      <c r="H273" s="255" t="e">
        <f t="shared" si="38"/>
        <v>#N/A</v>
      </c>
      <c r="I273" s="257" t="e">
        <f t="shared" si="39"/>
        <v>#N/A</v>
      </c>
    </row>
    <row r="274" spans="1:9" ht="12.75" customHeight="1">
      <c r="A274" s="273"/>
      <c r="B274" s="255" t="e">
        <f t="shared" si="32"/>
        <v>#N/A</v>
      </c>
      <c r="C274" s="255" t="str">
        <f t="shared" si="35"/>
        <v/>
      </c>
      <c r="D274" s="255" t="str">
        <f t="shared" si="36"/>
        <v/>
      </c>
      <c r="E274" s="255" t="str">
        <f t="shared" si="37"/>
        <v/>
      </c>
      <c r="F274" s="255" t="str">
        <f t="shared" si="33"/>
        <v/>
      </c>
      <c r="G274" s="255" t="str">
        <f t="shared" si="34"/>
        <v/>
      </c>
      <c r="H274" s="255" t="e">
        <f t="shared" si="38"/>
        <v>#N/A</v>
      </c>
      <c r="I274" s="257" t="e">
        <f t="shared" si="39"/>
        <v>#N/A</v>
      </c>
    </row>
    <row r="275" spans="1:9" ht="12.75" customHeight="1">
      <c r="A275" s="273"/>
      <c r="B275" s="255" t="e">
        <f t="shared" si="32"/>
        <v>#N/A</v>
      </c>
      <c r="C275" s="255" t="str">
        <f t="shared" si="35"/>
        <v/>
      </c>
      <c r="D275" s="255" t="str">
        <f t="shared" si="36"/>
        <v/>
      </c>
      <c r="E275" s="255" t="str">
        <f t="shared" si="37"/>
        <v/>
      </c>
      <c r="F275" s="255" t="str">
        <f t="shared" si="33"/>
        <v/>
      </c>
      <c r="G275" s="255" t="str">
        <f t="shared" si="34"/>
        <v/>
      </c>
      <c r="H275" s="255" t="e">
        <f t="shared" si="38"/>
        <v>#N/A</v>
      </c>
      <c r="I275" s="257" t="e">
        <f t="shared" si="39"/>
        <v>#N/A</v>
      </c>
    </row>
    <row r="276" spans="1:9" ht="12.75" customHeight="1">
      <c r="A276" s="273"/>
      <c r="B276" s="255" t="e">
        <f t="shared" si="32"/>
        <v>#N/A</v>
      </c>
      <c r="C276" s="255" t="str">
        <f t="shared" si="35"/>
        <v/>
      </c>
      <c r="D276" s="255" t="str">
        <f t="shared" si="36"/>
        <v/>
      </c>
      <c r="E276" s="255" t="str">
        <f t="shared" si="37"/>
        <v/>
      </c>
      <c r="F276" s="255" t="str">
        <f t="shared" si="33"/>
        <v/>
      </c>
      <c r="G276" s="255" t="str">
        <f t="shared" si="34"/>
        <v/>
      </c>
      <c r="H276" s="255" t="e">
        <f t="shared" si="38"/>
        <v>#N/A</v>
      </c>
      <c r="I276" s="257" t="e">
        <f t="shared" si="39"/>
        <v>#N/A</v>
      </c>
    </row>
    <row r="277" spans="1:9" ht="12.75" customHeight="1">
      <c r="A277" s="273"/>
      <c r="B277" s="255" t="e">
        <f t="shared" si="32"/>
        <v>#N/A</v>
      </c>
      <c r="C277" s="255" t="str">
        <f t="shared" si="35"/>
        <v/>
      </c>
      <c r="D277" s="255" t="str">
        <f t="shared" si="36"/>
        <v/>
      </c>
      <c r="E277" s="255" t="str">
        <f t="shared" si="37"/>
        <v/>
      </c>
      <c r="F277" s="255" t="str">
        <f t="shared" si="33"/>
        <v/>
      </c>
      <c r="G277" s="255" t="str">
        <f t="shared" si="34"/>
        <v/>
      </c>
      <c r="H277" s="255" t="e">
        <f t="shared" si="38"/>
        <v>#N/A</v>
      </c>
      <c r="I277" s="257" t="e">
        <f t="shared" si="39"/>
        <v>#N/A</v>
      </c>
    </row>
    <row r="278" spans="1:9" ht="12.75" customHeight="1">
      <c r="A278" s="273"/>
      <c r="B278" s="255" t="e">
        <f t="shared" si="32"/>
        <v>#N/A</v>
      </c>
      <c r="C278" s="255" t="str">
        <f t="shared" si="35"/>
        <v/>
      </c>
      <c r="D278" s="255" t="str">
        <f t="shared" si="36"/>
        <v/>
      </c>
      <c r="E278" s="255" t="str">
        <f t="shared" si="37"/>
        <v/>
      </c>
      <c r="F278" s="255" t="str">
        <f t="shared" si="33"/>
        <v/>
      </c>
      <c r="G278" s="255" t="str">
        <f t="shared" si="34"/>
        <v/>
      </c>
      <c r="H278" s="255" t="e">
        <f t="shared" si="38"/>
        <v>#N/A</v>
      </c>
      <c r="I278" s="257" t="e">
        <f t="shared" si="39"/>
        <v>#N/A</v>
      </c>
    </row>
    <row r="279" spans="1:9" ht="12.75" customHeight="1">
      <c r="A279" s="273"/>
      <c r="B279" s="255" t="e">
        <f t="shared" si="32"/>
        <v>#N/A</v>
      </c>
      <c r="C279" s="255" t="str">
        <f t="shared" si="35"/>
        <v/>
      </c>
      <c r="D279" s="255" t="str">
        <f t="shared" si="36"/>
        <v/>
      </c>
      <c r="E279" s="255" t="str">
        <f t="shared" si="37"/>
        <v/>
      </c>
      <c r="F279" s="255" t="str">
        <f t="shared" si="33"/>
        <v/>
      </c>
      <c r="G279" s="255" t="str">
        <f t="shared" si="34"/>
        <v/>
      </c>
      <c r="H279" s="255" t="e">
        <f t="shared" si="38"/>
        <v>#N/A</v>
      </c>
      <c r="I279" s="257" t="e">
        <f t="shared" si="39"/>
        <v>#N/A</v>
      </c>
    </row>
    <row r="280" spans="1:9" ht="12.75" customHeight="1">
      <c r="A280" s="273"/>
      <c r="B280" s="255" t="e">
        <f t="shared" si="32"/>
        <v>#N/A</v>
      </c>
      <c r="C280" s="255" t="str">
        <f t="shared" si="35"/>
        <v/>
      </c>
      <c r="D280" s="255" t="str">
        <f t="shared" si="36"/>
        <v/>
      </c>
      <c r="E280" s="255" t="str">
        <f t="shared" si="37"/>
        <v/>
      </c>
      <c r="F280" s="255" t="str">
        <f t="shared" si="33"/>
        <v/>
      </c>
      <c r="G280" s="255" t="str">
        <f t="shared" si="34"/>
        <v/>
      </c>
      <c r="H280" s="255" t="e">
        <f t="shared" si="38"/>
        <v>#N/A</v>
      </c>
      <c r="I280" s="257" t="e">
        <f t="shared" si="39"/>
        <v>#N/A</v>
      </c>
    </row>
    <row r="281" spans="1:9" ht="12.75" customHeight="1">
      <c r="A281" s="273"/>
      <c r="B281" s="255" t="e">
        <f t="shared" si="32"/>
        <v>#N/A</v>
      </c>
      <c r="C281" s="255" t="str">
        <f t="shared" si="35"/>
        <v/>
      </c>
      <c r="D281" s="255" t="str">
        <f t="shared" si="36"/>
        <v/>
      </c>
      <c r="E281" s="255" t="str">
        <f t="shared" si="37"/>
        <v/>
      </c>
      <c r="F281" s="255" t="str">
        <f t="shared" si="33"/>
        <v/>
      </c>
      <c r="G281" s="255" t="str">
        <f t="shared" si="34"/>
        <v/>
      </c>
      <c r="H281" s="255" t="e">
        <f t="shared" si="38"/>
        <v>#N/A</v>
      </c>
      <c r="I281" s="257" t="e">
        <f t="shared" si="39"/>
        <v>#N/A</v>
      </c>
    </row>
    <row r="282" spans="1:9" ht="12.75" customHeight="1">
      <c r="A282" s="273"/>
      <c r="B282" s="255" t="e">
        <f t="shared" si="32"/>
        <v>#N/A</v>
      </c>
      <c r="C282" s="255" t="str">
        <f t="shared" si="35"/>
        <v/>
      </c>
      <c r="D282" s="255" t="str">
        <f t="shared" si="36"/>
        <v/>
      </c>
      <c r="E282" s="255" t="str">
        <f t="shared" si="37"/>
        <v/>
      </c>
      <c r="F282" s="255" t="str">
        <f t="shared" si="33"/>
        <v/>
      </c>
      <c r="G282" s="255" t="str">
        <f t="shared" si="34"/>
        <v/>
      </c>
      <c r="H282" s="255" t="e">
        <f t="shared" si="38"/>
        <v>#N/A</v>
      </c>
      <c r="I282" s="257" t="e">
        <f t="shared" si="39"/>
        <v>#N/A</v>
      </c>
    </row>
    <row r="283" spans="1:9" ht="12.75" customHeight="1">
      <c r="A283" s="273"/>
      <c r="B283" s="255" t="e">
        <f t="shared" si="32"/>
        <v>#N/A</v>
      </c>
      <c r="C283" s="255" t="str">
        <f t="shared" si="35"/>
        <v/>
      </c>
      <c r="D283" s="255" t="str">
        <f t="shared" si="36"/>
        <v/>
      </c>
      <c r="E283" s="255" t="str">
        <f t="shared" si="37"/>
        <v/>
      </c>
      <c r="F283" s="255" t="str">
        <f t="shared" si="33"/>
        <v/>
      </c>
      <c r="G283" s="255" t="str">
        <f t="shared" si="34"/>
        <v/>
      </c>
      <c r="H283" s="255" t="e">
        <f t="shared" si="38"/>
        <v>#N/A</v>
      </c>
      <c r="I283" s="257" t="e">
        <f t="shared" si="39"/>
        <v>#N/A</v>
      </c>
    </row>
    <row r="284" spans="1:9" ht="12.75" customHeight="1">
      <c r="A284" s="273"/>
      <c r="B284" s="255" t="e">
        <f t="shared" si="32"/>
        <v>#N/A</v>
      </c>
      <c r="C284" s="255" t="str">
        <f t="shared" si="35"/>
        <v/>
      </c>
      <c r="D284" s="255" t="str">
        <f t="shared" si="36"/>
        <v/>
      </c>
      <c r="E284" s="255" t="str">
        <f t="shared" si="37"/>
        <v/>
      </c>
      <c r="F284" s="255" t="str">
        <f t="shared" si="33"/>
        <v/>
      </c>
      <c r="G284" s="255" t="str">
        <f t="shared" si="34"/>
        <v/>
      </c>
      <c r="H284" s="255" t="e">
        <f t="shared" si="38"/>
        <v>#N/A</v>
      </c>
      <c r="I284" s="257" t="e">
        <f t="shared" si="39"/>
        <v>#N/A</v>
      </c>
    </row>
    <row r="285" spans="1:9" ht="12.75" customHeight="1">
      <c r="A285" s="273"/>
      <c r="B285" s="255" t="e">
        <f t="shared" si="32"/>
        <v>#N/A</v>
      </c>
      <c r="C285" s="255" t="str">
        <f t="shared" si="35"/>
        <v/>
      </c>
      <c r="D285" s="255" t="str">
        <f t="shared" si="36"/>
        <v/>
      </c>
      <c r="E285" s="255" t="str">
        <f t="shared" si="37"/>
        <v/>
      </c>
      <c r="F285" s="255" t="str">
        <f t="shared" si="33"/>
        <v/>
      </c>
      <c r="G285" s="255" t="str">
        <f t="shared" si="34"/>
        <v/>
      </c>
      <c r="H285" s="255" t="e">
        <f t="shared" si="38"/>
        <v>#N/A</v>
      </c>
      <c r="I285" s="257" t="e">
        <f t="shared" si="39"/>
        <v>#N/A</v>
      </c>
    </row>
    <row r="286" spans="1:9" ht="12.75" customHeight="1">
      <c r="A286" s="273"/>
      <c r="B286" s="255" t="e">
        <f t="shared" si="32"/>
        <v>#N/A</v>
      </c>
      <c r="C286" s="255" t="str">
        <f t="shared" si="35"/>
        <v/>
      </c>
      <c r="D286" s="255" t="str">
        <f t="shared" si="36"/>
        <v/>
      </c>
      <c r="E286" s="255" t="str">
        <f t="shared" si="37"/>
        <v/>
      </c>
      <c r="F286" s="255" t="str">
        <f t="shared" si="33"/>
        <v/>
      </c>
      <c r="G286" s="255" t="str">
        <f t="shared" si="34"/>
        <v/>
      </c>
      <c r="H286" s="255" t="e">
        <f t="shared" si="38"/>
        <v>#N/A</v>
      </c>
      <c r="I286" s="257" t="e">
        <f t="shared" si="39"/>
        <v>#N/A</v>
      </c>
    </row>
    <row r="287" spans="1:9" ht="12.75" customHeight="1">
      <c r="A287" s="273"/>
      <c r="B287" s="255" t="e">
        <f t="shared" si="32"/>
        <v>#N/A</v>
      </c>
      <c r="C287" s="255" t="str">
        <f t="shared" si="35"/>
        <v/>
      </c>
      <c r="D287" s="255" t="str">
        <f t="shared" si="36"/>
        <v/>
      </c>
      <c r="E287" s="255" t="str">
        <f t="shared" si="37"/>
        <v/>
      </c>
      <c r="F287" s="255" t="str">
        <f t="shared" si="33"/>
        <v/>
      </c>
      <c r="G287" s="255" t="str">
        <f t="shared" si="34"/>
        <v/>
      </c>
      <c r="H287" s="255" t="e">
        <f t="shared" si="38"/>
        <v>#N/A</v>
      </c>
      <c r="I287" s="257" t="e">
        <f t="shared" si="39"/>
        <v>#N/A</v>
      </c>
    </row>
    <row r="288" spans="1:9" ht="12.75" customHeight="1">
      <c r="A288" s="273"/>
      <c r="B288" s="255" t="e">
        <f t="shared" si="32"/>
        <v>#N/A</v>
      </c>
      <c r="C288" s="255" t="str">
        <f t="shared" si="35"/>
        <v/>
      </c>
      <c r="D288" s="255" t="str">
        <f t="shared" si="36"/>
        <v/>
      </c>
      <c r="E288" s="255" t="str">
        <f t="shared" si="37"/>
        <v/>
      </c>
      <c r="F288" s="255" t="str">
        <f t="shared" si="33"/>
        <v/>
      </c>
      <c r="G288" s="255" t="str">
        <f t="shared" si="34"/>
        <v/>
      </c>
      <c r="H288" s="255" t="e">
        <f t="shared" si="38"/>
        <v>#N/A</v>
      </c>
      <c r="I288" s="257" t="e">
        <f t="shared" si="39"/>
        <v>#N/A</v>
      </c>
    </row>
    <row r="289" spans="1:9" ht="12.75" customHeight="1">
      <c r="A289" s="273"/>
      <c r="B289" s="255" t="e">
        <f t="shared" si="32"/>
        <v>#N/A</v>
      </c>
      <c r="C289" s="255" t="str">
        <f t="shared" si="35"/>
        <v/>
      </c>
      <c r="D289" s="255" t="str">
        <f t="shared" si="36"/>
        <v/>
      </c>
      <c r="E289" s="255" t="str">
        <f t="shared" si="37"/>
        <v/>
      </c>
      <c r="F289" s="255" t="str">
        <f t="shared" si="33"/>
        <v/>
      </c>
      <c r="G289" s="255" t="str">
        <f t="shared" si="34"/>
        <v/>
      </c>
      <c r="H289" s="255" t="e">
        <f t="shared" si="38"/>
        <v>#N/A</v>
      </c>
      <c r="I289" s="257" t="e">
        <f t="shared" si="39"/>
        <v>#N/A</v>
      </c>
    </row>
    <row r="290" spans="1:9" ht="12.75" customHeight="1">
      <c r="A290" s="273"/>
      <c r="B290" s="255" t="e">
        <f t="shared" si="32"/>
        <v>#N/A</v>
      </c>
      <c r="C290" s="255" t="str">
        <f t="shared" si="35"/>
        <v/>
      </c>
      <c r="D290" s="255" t="str">
        <f t="shared" si="36"/>
        <v/>
      </c>
      <c r="E290" s="255" t="str">
        <f t="shared" si="37"/>
        <v/>
      </c>
      <c r="F290" s="255" t="str">
        <f t="shared" si="33"/>
        <v/>
      </c>
      <c r="G290" s="255" t="str">
        <f t="shared" si="34"/>
        <v/>
      </c>
      <c r="H290" s="255" t="e">
        <f t="shared" si="38"/>
        <v>#N/A</v>
      </c>
      <c r="I290" s="257" t="e">
        <f t="shared" si="39"/>
        <v>#N/A</v>
      </c>
    </row>
    <row r="291" spans="1:9" ht="12.75" customHeight="1">
      <c r="A291" s="273"/>
      <c r="B291" s="255" t="e">
        <f t="shared" ref="B291:B354" si="40">IF(ISBLANK(A291),NA(),SMALL(A$34:A$533,C291))</f>
        <v>#N/A</v>
      </c>
      <c r="C291" s="255" t="str">
        <f t="shared" si="35"/>
        <v/>
      </c>
      <c r="D291" s="255" t="str">
        <f t="shared" si="36"/>
        <v/>
      </c>
      <c r="E291" s="255" t="str">
        <f t="shared" si="37"/>
        <v/>
      </c>
      <c r="F291" s="255" t="str">
        <f t="shared" ref="F291:F354" si="41">IF(ISBLANK(A291),"",SMALL($E$34:$E$533,C291))</f>
        <v/>
      </c>
      <c r="G291" s="255" t="str">
        <f t="shared" ref="G291:G354" si="42">IF(ISBLANK(A291),"",(2*C291-1)*(LN(F291)+LN(D291)))</f>
        <v/>
      </c>
      <c r="H291" s="255" t="e">
        <f t="shared" si="38"/>
        <v>#N/A</v>
      </c>
      <c r="I291" s="257" t="e">
        <f t="shared" si="39"/>
        <v>#N/A</v>
      </c>
    </row>
    <row r="292" spans="1:9" ht="12.75" customHeight="1">
      <c r="A292" s="273"/>
      <c r="B292" s="255" t="e">
        <f t="shared" si="40"/>
        <v>#N/A</v>
      </c>
      <c r="C292" s="255" t="str">
        <f t="shared" si="35"/>
        <v/>
      </c>
      <c r="D292" s="255" t="str">
        <f t="shared" si="36"/>
        <v/>
      </c>
      <c r="E292" s="255" t="str">
        <f t="shared" si="37"/>
        <v/>
      </c>
      <c r="F292" s="255" t="str">
        <f t="shared" si="41"/>
        <v/>
      </c>
      <c r="G292" s="255" t="str">
        <f t="shared" si="42"/>
        <v/>
      </c>
      <c r="H292" s="255" t="e">
        <f t="shared" si="38"/>
        <v>#N/A</v>
      </c>
      <c r="I292" s="257" t="e">
        <f t="shared" si="39"/>
        <v>#N/A</v>
      </c>
    </row>
    <row r="293" spans="1:9" ht="12.75" customHeight="1">
      <c r="A293" s="273"/>
      <c r="B293" s="255" t="e">
        <f t="shared" si="40"/>
        <v>#N/A</v>
      </c>
      <c r="C293" s="255" t="str">
        <f t="shared" si="35"/>
        <v/>
      </c>
      <c r="D293" s="255" t="str">
        <f t="shared" si="36"/>
        <v/>
      </c>
      <c r="E293" s="255" t="str">
        <f t="shared" si="37"/>
        <v/>
      </c>
      <c r="F293" s="255" t="str">
        <f t="shared" si="41"/>
        <v/>
      </c>
      <c r="G293" s="255" t="str">
        <f t="shared" si="42"/>
        <v/>
      </c>
      <c r="H293" s="255" t="e">
        <f t="shared" si="38"/>
        <v>#N/A</v>
      </c>
      <c r="I293" s="257" t="e">
        <f t="shared" si="39"/>
        <v>#N/A</v>
      </c>
    </row>
    <row r="294" spans="1:9" ht="12.75" customHeight="1">
      <c r="A294" s="273"/>
      <c r="B294" s="255" t="e">
        <f t="shared" si="40"/>
        <v>#N/A</v>
      </c>
      <c r="C294" s="255" t="str">
        <f t="shared" si="35"/>
        <v/>
      </c>
      <c r="D294" s="255" t="str">
        <f t="shared" si="36"/>
        <v/>
      </c>
      <c r="E294" s="255" t="str">
        <f t="shared" si="37"/>
        <v/>
      </c>
      <c r="F294" s="255" t="str">
        <f t="shared" si="41"/>
        <v/>
      </c>
      <c r="G294" s="255" t="str">
        <f t="shared" si="42"/>
        <v/>
      </c>
      <c r="H294" s="255" t="e">
        <f t="shared" si="38"/>
        <v>#N/A</v>
      </c>
      <c r="I294" s="257" t="e">
        <f t="shared" si="39"/>
        <v>#N/A</v>
      </c>
    </row>
    <row r="295" spans="1:9" ht="12.75" customHeight="1">
      <c r="A295" s="273"/>
      <c r="B295" s="255" t="e">
        <f t="shared" si="40"/>
        <v>#N/A</v>
      </c>
      <c r="C295" s="255" t="str">
        <f t="shared" si="35"/>
        <v/>
      </c>
      <c r="D295" s="255" t="str">
        <f t="shared" si="36"/>
        <v/>
      </c>
      <c r="E295" s="255" t="str">
        <f t="shared" si="37"/>
        <v/>
      </c>
      <c r="F295" s="255" t="str">
        <f t="shared" si="41"/>
        <v/>
      </c>
      <c r="G295" s="255" t="str">
        <f t="shared" si="42"/>
        <v/>
      </c>
      <c r="H295" s="255" t="e">
        <f t="shared" si="38"/>
        <v>#N/A</v>
      </c>
      <c r="I295" s="257" t="e">
        <f t="shared" si="39"/>
        <v>#N/A</v>
      </c>
    </row>
    <row r="296" spans="1:9" ht="12.75" customHeight="1">
      <c r="A296" s="273"/>
      <c r="B296" s="255" t="e">
        <f t="shared" si="40"/>
        <v>#N/A</v>
      </c>
      <c r="C296" s="255" t="str">
        <f t="shared" si="35"/>
        <v/>
      </c>
      <c r="D296" s="255" t="str">
        <f t="shared" si="36"/>
        <v/>
      </c>
      <c r="E296" s="255" t="str">
        <f t="shared" si="37"/>
        <v/>
      </c>
      <c r="F296" s="255" t="str">
        <f t="shared" si="41"/>
        <v/>
      </c>
      <c r="G296" s="255" t="str">
        <f t="shared" si="42"/>
        <v/>
      </c>
      <c r="H296" s="255" t="e">
        <f t="shared" si="38"/>
        <v>#N/A</v>
      </c>
      <c r="I296" s="257" t="e">
        <f t="shared" si="39"/>
        <v>#N/A</v>
      </c>
    </row>
    <row r="297" spans="1:9" ht="12.75" customHeight="1">
      <c r="A297" s="273"/>
      <c r="B297" s="255" t="e">
        <f t="shared" si="40"/>
        <v>#N/A</v>
      </c>
      <c r="C297" s="255" t="str">
        <f t="shared" si="35"/>
        <v/>
      </c>
      <c r="D297" s="255" t="str">
        <f t="shared" si="36"/>
        <v/>
      </c>
      <c r="E297" s="255" t="str">
        <f t="shared" si="37"/>
        <v/>
      </c>
      <c r="F297" s="255" t="str">
        <f t="shared" si="41"/>
        <v/>
      </c>
      <c r="G297" s="255" t="str">
        <f t="shared" si="42"/>
        <v/>
      </c>
      <c r="H297" s="255" t="e">
        <f t="shared" si="38"/>
        <v>#N/A</v>
      </c>
      <c r="I297" s="257" t="e">
        <f t="shared" si="39"/>
        <v>#N/A</v>
      </c>
    </row>
    <row r="298" spans="1:9" ht="12.75" customHeight="1">
      <c r="A298" s="273"/>
      <c r="B298" s="255" t="e">
        <f t="shared" si="40"/>
        <v>#N/A</v>
      </c>
      <c r="C298" s="255" t="str">
        <f t="shared" si="35"/>
        <v/>
      </c>
      <c r="D298" s="255" t="str">
        <f t="shared" si="36"/>
        <v/>
      </c>
      <c r="E298" s="255" t="str">
        <f t="shared" si="37"/>
        <v/>
      </c>
      <c r="F298" s="255" t="str">
        <f t="shared" si="41"/>
        <v/>
      </c>
      <c r="G298" s="255" t="str">
        <f t="shared" si="42"/>
        <v/>
      </c>
      <c r="H298" s="255" t="e">
        <f t="shared" si="38"/>
        <v>#N/A</v>
      </c>
      <c r="I298" s="257" t="e">
        <f t="shared" si="39"/>
        <v>#N/A</v>
      </c>
    </row>
    <row r="299" spans="1:9" ht="12.75" customHeight="1">
      <c r="A299" s="273"/>
      <c r="B299" s="255" t="e">
        <f t="shared" si="40"/>
        <v>#N/A</v>
      </c>
      <c r="C299" s="255" t="str">
        <f t="shared" si="35"/>
        <v/>
      </c>
      <c r="D299" s="255" t="str">
        <f t="shared" si="36"/>
        <v/>
      </c>
      <c r="E299" s="255" t="str">
        <f t="shared" si="37"/>
        <v/>
      </c>
      <c r="F299" s="255" t="str">
        <f t="shared" si="41"/>
        <v/>
      </c>
      <c r="G299" s="255" t="str">
        <f t="shared" si="42"/>
        <v/>
      </c>
      <c r="H299" s="255" t="e">
        <f t="shared" si="38"/>
        <v>#N/A</v>
      </c>
      <c r="I299" s="257" t="e">
        <f t="shared" si="39"/>
        <v>#N/A</v>
      </c>
    </row>
    <row r="300" spans="1:9" ht="12.75" customHeight="1">
      <c r="A300" s="273"/>
      <c r="B300" s="255" t="e">
        <f t="shared" si="40"/>
        <v>#N/A</v>
      </c>
      <c r="C300" s="255" t="str">
        <f t="shared" si="35"/>
        <v/>
      </c>
      <c r="D300" s="255" t="str">
        <f t="shared" si="36"/>
        <v/>
      </c>
      <c r="E300" s="255" t="str">
        <f t="shared" si="37"/>
        <v/>
      </c>
      <c r="F300" s="255" t="str">
        <f t="shared" si="41"/>
        <v/>
      </c>
      <c r="G300" s="255" t="str">
        <f t="shared" si="42"/>
        <v/>
      </c>
      <c r="H300" s="255" t="e">
        <f t="shared" si="38"/>
        <v>#N/A</v>
      </c>
      <c r="I300" s="257" t="e">
        <f t="shared" si="39"/>
        <v>#N/A</v>
      </c>
    </row>
    <row r="301" spans="1:9" ht="12.75" customHeight="1">
      <c r="A301" s="273"/>
      <c r="B301" s="255" t="e">
        <f t="shared" si="40"/>
        <v>#N/A</v>
      </c>
      <c r="C301" s="255" t="str">
        <f t="shared" si="35"/>
        <v/>
      </c>
      <c r="D301" s="255" t="str">
        <f t="shared" si="36"/>
        <v/>
      </c>
      <c r="E301" s="255" t="str">
        <f t="shared" si="37"/>
        <v/>
      </c>
      <c r="F301" s="255" t="str">
        <f t="shared" si="41"/>
        <v/>
      </c>
      <c r="G301" s="255" t="str">
        <f t="shared" si="42"/>
        <v/>
      </c>
      <c r="H301" s="255" t="e">
        <f t="shared" si="38"/>
        <v>#N/A</v>
      </c>
      <c r="I301" s="257" t="e">
        <f t="shared" si="39"/>
        <v>#N/A</v>
      </c>
    </row>
    <row r="302" spans="1:9" ht="12.75" customHeight="1">
      <c r="A302" s="273"/>
      <c r="B302" s="255" t="e">
        <f t="shared" si="40"/>
        <v>#N/A</v>
      </c>
      <c r="C302" s="255" t="str">
        <f t="shared" si="35"/>
        <v/>
      </c>
      <c r="D302" s="255" t="str">
        <f t="shared" si="36"/>
        <v/>
      </c>
      <c r="E302" s="255" t="str">
        <f t="shared" si="37"/>
        <v/>
      </c>
      <c r="F302" s="255" t="str">
        <f t="shared" si="41"/>
        <v/>
      </c>
      <c r="G302" s="255" t="str">
        <f t="shared" si="42"/>
        <v/>
      </c>
      <c r="H302" s="255" t="e">
        <f t="shared" si="38"/>
        <v>#N/A</v>
      </c>
      <c r="I302" s="257" t="e">
        <f t="shared" si="39"/>
        <v>#N/A</v>
      </c>
    </row>
    <row r="303" spans="1:9" ht="12.75" customHeight="1">
      <c r="A303" s="273"/>
      <c r="B303" s="255" t="e">
        <f t="shared" si="40"/>
        <v>#N/A</v>
      </c>
      <c r="C303" s="255" t="str">
        <f t="shared" si="35"/>
        <v/>
      </c>
      <c r="D303" s="255" t="str">
        <f t="shared" si="36"/>
        <v/>
      </c>
      <c r="E303" s="255" t="str">
        <f t="shared" si="37"/>
        <v/>
      </c>
      <c r="F303" s="255" t="str">
        <f t="shared" si="41"/>
        <v/>
      </c>
      <c r="G303" s="255" t="str">
        <f t="shared" si="42"/>
        <v/>
      </c>
      <c r="H303" s="255" t="e">
        <f t="shared" si="38"/>
        <v>#N/A</v>
      </c>
      <c r="I303" s="257" t="e">
        <f t="shared" si="39"/>
        <v>#N/A</v>
      </c>
    </row>
    <row r="304" spans="1:9" ht="12.75" customHeight="1">
      <c r="A304" s="273"/>
      <c r="B304" s="255" t="e">
        <f t="shared" si="40"/>
        <v>#N/A</v>
      </c>
      <c r="C304" s="255" t="str">
        <f t="shared" si="35"/>
        <v/>
      </c>
      <c r="D304" s="255" t="str">
        <f t="shared" si="36"/>
        <v/>
      </c>
      <c r="E304" s="255" t="str">
        <f t="shared" si="37"/>
        <v/>
      </c>
      <c r="F304" s="255" t="str">
        <f t="shared" si="41"/>
        <v/>
      </c>
      <c r="G304" s="255" t="str">
        <f t="shared" si="42"/>
        <v/>
      </c>
      <c r="H304" s="255" t="e">
        <f t="shared" si="38"/>
        <v>#N/A</v>
      </c>
      <c r="I304" s="257" t="e">
        <f t="shared" si="39"/>
        <v>#N/A</v>
      </c>
    </row>
    <row r="305" spans="1:9" ht="12.75" customHeight="1">
      <c r="A305" s="273"/>
      <c r="B305" s="255" t="e">
        <f t="shared" si="40"/>
        <v>#N/A</v>
      </c>
      <c r="C305" s="255" t="str">
        <f t="shared" si="35"/>
        <v/>
      </c>
      <c r="D305" s="255" t="str">
        <f t="shared" si="36"/>
        <v/>
      </c>
      <c r="E305" s="255" t="str">
        <f t="shared" si="37"/>
        <v/>
      </c>
      <c r="F305" s="255" t="str">
        <f t="shared" si="41"/>
        <v/>
      </c>
      <c r="G305" s="255" t="str">
        <f t="shared" si="42"/>
        <v/>
      </c>
      <c r="H305" s="255" t="e">
        <f t="shared" si="38"/>
        <v>#N/A</v>
      </c>
      <c r="I305" s="257" t="e">
        <f t="shared" si="39"/>
        <v>#N/A</v>
      </c>
    </row>
    <row r="306" spans="1:9" ht="12.75" customHeight="1">
      <c r="A306" s="273"/>
      <c r="B306" s="255" t="e">
        <f t="shared" si="40"/>
        <v>#N/A</v>
      </c>
      <c r="C306" s="255" t="str">
        <f t="shared" si="35"/>
        <v/>
      </c>
      <c r="D306" s="255" t="str">
        <f t="shared" si="36"/>
        <v/>
      </c>
      <c r="E306" s="255" t="str">
        <f t="shared" si="37"/>
        <v/>
      </c>
      <c r="F306" s="255" t="str">
        <f t="shared" si="41"/>
        <v/>
      </c>
      <c r="G306" s="255" t="str">
        <f t="shared" si="42"/>
        <v/>
      </c>
      <c r="H306" s="255" t="e">
        <f t="shared" si="38"/>
        <v>#N/A</v>
      </c>
      <c r="I306" s="257" t="e">
        <f t="shared" si="39"/>
        <v>#N/A</v>
      </c>
    </row>
    <row r="307" spans="1:9" ht="12.75" customHeight="1">
      <c r="A307" s="273"/>
      <c r="B307" s="255" t="e">
        <f t="shared" si="40"/>
        <v>#N/A</v>
      </c>
      <c r="C307" s="255" t="str">
        <f t="shared" si="35"/>
        <v/>
      </c>
      <c r="D307" s="255" t="str">
        <f t="shared" si="36"/>
        <v/>
      </c>
      <c r="E307" s="255" t="str">
        <f t="shared" si="37"/>
        <v/>
      </c>
      <c r="F307" s="255" t="str">
        <f t="shared" si="41"/>
        <v/>
      </c>
      <c r="G307" s="255" t="str">
        <f t="shared" si="42"/>
        <v/>
      </c>
      <c r="H307" s="255" t="e">
        <f t="shared" si="38"/>
        <v>#N/A</v>
      </c>
      <c r="I307" s="257" t="e">
        <f t="shared" si="39"/>
        <v>#N/A</v>
      </c>
    </row>
    <row r="308" spans="1:9" ht="12.75" customHeight="1">
      <c r="A308" s="273"/>
      <c r="B308" s="255" t="e">
        <f t="shared" si="40"/>
        <v>#N/A</v>
      </c>
      <c r="C308" s="255" t="str">
        <f t="shared" si="35"/>
        <v/>
      </c>
      <c r="D308" s="255" t="str">
        <f t="shared" si="36"/>
        <v/>
      </c>
      <c r="E308" s="255" t="str">
        <f t="shared" si="37"/>
        <v/>
      </c>
      <c r="F308" s="255" t="str">
        <f t="shared" si="41"/>
        <v/>
      </c>
      <c r="G308" s="255" t="str">
        <f t="shared" si="42"/>
        <v/>
      </c>
      <c r="H308" s="255" t="e">
        <f t="shared" si="38"/>
        <v>#N/A</v>
      </c>
      <c r="I308" s="257" t="e">
        <f t="shared" si="39"/>
        <v>#N/A</v>
      </c>
    </row>
    <row r="309" spans="1:9" ht="12.75" customHeight="1">
      <c r="A309" s="273"/>
      <c r="B309" s="255" t="e">
        <f t="shared" si="40"/>
        <v>#N/A</v>
      </c>
      <c r="C309" s="255" t="str">
        <f t="shared" si="35"/>
        <v/>
      </c>
      <c r="D309" s="255" t="str">
        <f t="shared" si="36"/>
        <v/>
      </c>
      <c r="E309" s="255" t="str">
        <f t="shared" si="37"/>
        <v/>
      </c>
      <c r="F309" s="255" t="str">
        <f t="shared" si="41"/>
        <v/>
      </c>
      <c r="G309" s="255" t="str">
        <f t="shared" si="42"/>
        <v/>
      </c>
      <c r="H309" s="255" t="e">
        <f t="shared" si="38"/>
        <v>#N/A</v>
      </c>
      <c r="I309" s="257" t="e">
        <f t="shared" si="39"/>
        <v>#N/A</v>
      </c>
    </row>
    <row r="310" spans="1:9" ht="12.75" customHeight="1">
      <c r="A310" s="273"/>
      <c r="B310" s="255" t="e">
        <f t="shared" si="40"/>
        <v>#N/A</v>
      </c>
      <c r="C310" s="255" t="str">
        <f t="shared" si="35"/>
        <v/>
      </c>
      <c r="D310" s="255" t="str">
        <f t="shared" si="36"/>
        <v/>
      </c>
      <c r="E310" s="255" t="str">
        <f t="shared" si="37"/>
        <v/>
      </c>
      <c r="F310" s="255" t="str">
        <f t="shared" si="41"/>
        <v/>
      </c>
      <c r="G310" s="255" t="str">
        <f t="shared" si="42"/>
        <v/>
      </c>
      <c r="H310" s="255" t="e">
        <f t="shared" si="38"/>
        <v>#N/A</v>
      </c>
      <c r="I310" s="257" t="e">
        <f t="shared" si="39"/>
        <v>#N/A</v>
      </c>
    </row>
    <row r="311" spans="1:9" ht="12.75" customHeight="1">
      <c r="A311" s="273"/>
      <c r="B311" s="255" t="e">
        <f t="shared" si="40"/>
        <v>#N/A</v>
      </c>
      <c r="C311" s="255" t="str">
        <f t="shared" si="35"/>
        <v/>
      </c>
      <c r="D311" s="255" t="str">
        <f t="shared" si="36"/>
        <v/>
      </c>
      <c r="E311" s="255" t="str">
        <f t="shared" si="37"/>
        <v/>
      </c>
      <c r="F311" s="255" t="str">
        <f t="shared" si="41"/>
        <v/>
      </c>
      <c r="G311" s="255" t="str">
        <f t="shared" si="42"/>
        <v/>
      </c>
      <c r="H311" s="255" t="e">
        <f t="shared" si="38"/>
        <v>#N/A</v>
      </c>
      <c r="I311" s="257" t="e">
        <f t="shared" si="39"/>
        <v>#N/A</v>
      </c>
    </row>
    <row r="312" spans="1:9" ht="12.75" customHeight="1">
      <c r="A312" s="273"/>
      <c r="B312" s="255" t="e">
        <f t="shared" si="40"/>
        <v>#N/A</v>
      </c>
      <c r="C312" s="255" t="str">
        <f t="shared" si="35"/>
        <v/>
      </c>
      <c r="D312" s="255" t="str">
        <f t="shared" si="36"/>
        <v/>
      </c>
      <c r="E312" s="255" t="str">
        <f t="shared" si="37"/>
        <v/>
      </c>
      <c r="F312" s="255" t="str">
        <f t="shared" si="41"/>
        <v/>
      </c>
      <c r="G312" s="255" t="str">
        <f t="shared" si="42"/>
        <v/>
      </c>
      <c r="H312" s="255" t="e">
        <f t="shared" si="38"/>
        <v>#N/A</v>
      </c>
      <c r="I312" s="257" t="e">
        <f t="shared" si="39"/>
        <v>#N/A</v>
      </c>
    </row>
    <row r="313" spans="1:9" ht="12.75" customHeight="1">
      <c r="A313" s="273"/>
      <c r="B313" s="255" t="e">
        <f t="shared" si="40"/>
        <v>#N/A</v>
      </c>
      <c r="C313" s="255" t="str">
        <f t="shared" si="35"/>
        <v/>
      </c>
      <c r="D313" s="255" t="str">
        <f t="shared" si="36"/>
        <v/>
      </c>
      <c r="E313" s="255" t="str">
        <f t="shared" si="37"/>
        <v/>
      </c>
      <c r="F313" s="255" t="str">
        <f t="shared" si="41"/>
        <v/>
      </c>
      <c r="G313" s="255" t="str">
        <f t="shared" si="42"/>
        <v/>
      </c>
      <c r="H313" s="255" t="e">
        <f t="shared" si="38"/>
        <v>#N/A</v>
      </c>
      <c r="I313" s="257" t="e">
        <f t="shared" si="39"/>
        <v>#N/A</v>
      </c>
    </row>
    <row r="314" spans="1:9" ht="12.75" customHeight="1">
      <c r="A314" s="273"/>
      <c r="B314" s="255" t="e">
        <f t="shared" si="40"/>
        <v>#N/A</v>
      </c>
      <c r="C314" s="255" t="str">
        <f t="shared" si="35"/>
        <v/>
      </c>
      <c r="D314" s="255" t="str">
        <f t="shared" si="36"/>
        <v/>
      </c>
      <c r="E314" s="255" t="str">
        <f t="shared" si="37"/>
        <v/>
      </c>
      <c r="F314" s="255" t="str">
        <f t="shared" si="41"/>
        <v/>
      </c>
      <c r="G314" s="255" t="str">
        <f t="shared" si="42"/>
        <v/>
      </c>
      <c r="H314" s="255" t="e">
        <f t="shared" si="38"/>
        <v>#N/A</v>
      </c>
      <c r="I314" s="257" t="e">
        <f t="shared" si="39"/>
        <v>#N/A</v>
      </c>
    </row>
    <row r="315" spans="1:9" ht="12.75" customHeight="1">
      <c r="A315" s="273"/>
      <c r="B315" s="255" t="e">
        <f t="shared" si="40"/>
        <v>#N/A</v>
      </c>
      <c r="C315" s="255" t="str">
        <f t="shared" si="35"/>
        <v/>
      </c>
      <c r="D315" s="255" t="str">
        <f t="shared" si="36"/>
        <v/>
      </c>
      <c r="E315" s="255" t="str">
        <f t="shared" si="37"/>
        <v/>
      </c>
      <c r="F315" s="255" t="str">
        <f t="shared" si="41"/>
        <v/>
      </c>
      <c r="G315" s="255" t="str">
        <f t="shared" si="42"/>
        <v/>
      </c>
      <c r="H315" s="255" t="e">
        <f t="shared" si="38"/>
        <v>#N/A</v>
      </c>
      <c r="I315" s="257" t="e">
        <f t="shared" si="39"/>
        <v>#N/A</v>
      </c>
    </row>
    <row r="316" spans="1:9" ht="12.75" customHeight="1">
      <c r="A316" s="273"/>
      <c r="B316" s="255" t="e">
        <f t="shared" si="40"/>
        <v>#N/A</v>
      </c>
      <c r="C316" s="255" t="str">
        <f t="shared" si="35"/>
        <v/>
      </c>
      <c r="D316" s="255" t="str">
        <f t="shared" si="36"/>
        <v/>
      </c>
      <c r="E316" s="255" t="str">
        <f t="shared" si="37"/>
        <v/>
      </c>
      <c r="F316" s="255" t="str">
        <f t="shared" si="41"/>
        <v/>
      </c>
      <c r="G316" s="255" t="str">
        <f t="shared" si="42"/>
        <v/>
      </c>
      <c r="H316" s="255" t="e">
        <f t="shared" si="38"/>
        <v>#N/A</v>
      </c>
      <c r="I316" s="257" t="e">
        <f t="shared" si="39"/>
        <v>#N/A</v>
      </c>
    </row>
    <row r="317" spans="1:9" ht="12.75" customHeight="1">
      <c r="A317" s="273"/>
      <c r="B317" s="255" t="e">
        <f t="shared" si="40"/>
        <v>#N/A</v>
      </c>
      <c r="C317" s="255" t="str">
        <f t="shared" si="35"/>
        <v/>
      </c>
      <c r="D317" s="255" t="str">
        <f t="shared" si="36"/>
        <v/>
      </c>
      <c r="E317" s="255" t="str">
        <f t="shared" si="37"/>
        <v/>
      </c>
      <c r="F317" s="255" t="str">
        <f t="shared" si="41"/>
        <v/>
      </c>
      <c r="G317" s="255" t="str">
        <f t="shared" si="42"/>
        <v/>
      </c>
      <c r="H317" s="255" t="e">
        <f t="shared" si="38"/>
        <v>#N/A</v>
      </c>
      <c r="I317" s="257" t="e">
        <f t="shared" si="39"/>
        <v>#N/A</v>
      </c>
    </row>
    <row r="318" spans="1:9" ht="12.75" customHeight="1">
      <c r="A318" s="273"/>
      <c r="B318" s="255" t="e">
        <f t="shared" si="40"/>
        <v>#N/A</v>
      </c>
      <c r="C318" s="255" t="str">
        <f t="shared" si="35"/>
        <v/>
      </c>
      <c r="D318" s="255" t="str">
        <f t="shared" si="36"/>
        <v/>
      </c>
      <c r="E318" s="255" t="str">
        <f t="shared" si="37"/>
        <v/>
      </c>
      <c r="F318" s="255" t="str">
        <f t="shared" si="41"/>
        <v/>
      </c>
      <c r="G318" s="255" t="str">
        <f t="shared" si="42"/>
        <v/>
      </c>
      <c r="H318" s="255" t="e">
        <f t="shared" si="38"/>
        <v>#N/A</v>
      </c>
      <c r="I318" s="257" t="e">
        <f t="shared" si="39"/>
        <v>#N/A</v>
      </c>
    </row>
    <row r="319" spans="1:9" ht="12.75" customHeight="1">
      <c r="A319" s="273"/>
      <c r="B319" s="255" t="e">
        <f t="shared" si="40"/>
        <v>#N/A</v>
      </c>
      <c r="C319" s="255" t="str">
        <f t="shared" si="35"/>
        <v/>
      </c>
      <c r="D319" s="255" t="str">
        <f t="shared" si="36"/>
        <v/>
      </c>
      <c r="E319" s="255" t="str">
        <f t="shared" si="37"/>
        <v/>
      </c>
      <c r="F319" s="255" t="str">
        <f t="shared" si="41"/>
        <v/>
      </c>
      <c r="G319" s="255" t="str">
        <f t="shared" si="42"/>
        <v/>
      </c>
      <c r="H319" s="255" t="e">
        <f t="shared" si="38"/>
        <v>#N/A</v>
      </c>
      <c r="I319" s="257" t="e">
        <f t="shared" si="39"/>
        <v>#N/A</v>
      </c>
    </row>
    <row r="320" spans="1:9" ht="12.75" customHeight="1">
      <c r="A320" s="273"/>
      <c r="B320" s="255" t="e">
        <f t="shared" si="40"/>
        <v>#N/A</v>
      </c>
      <c r="C320" s="255" t="str">
        <f t="shared" si="35"/>
        <v/>
      </c>
      <c r="D320" s="255" t="str">
        <f t="shared" si="36"/>
        <v/>
      </c>
      <c r="E320" s="255" t="str">
        <f t="shared" si="37"/>
        <v/>
      </c>
      <c r="F320" s="255" t="str">
        <f t="shared" si="41"/>
        <v/>
      </c>
      <c r="G320" s="255" t="str">
        <f t="shared" si="42"/>
        <v/>
      </c>
      <c r="H320" s="255" t="e">
        <f t="shared" si="38"/>
        <v>#N/A</v>
      </c>
      <c r="I320" s="257" t="e">
        <f t="shared" si="39"/>
        <v>#N/A</v>
      </c>
    </row>
    <row r="321" spans="1:9" ht="12.75" customHeight="1">
      <c r="A321" s="273"/>
      <c r="B321" s="255" t="e">
        <f t="shared" si="40"/>
        <v>#N/A</v>
      </c>
      <c r="C321" s="255" t="str">
        <f t="shared" si="35"/>
        <v/>
      </c>
      <c r="D321" s="255" t="str">
        <f t="shared" si="36"/>
        <v/>
      </c>
      <c r="E321" s="255" t="str">
        <f t="shared" si="37"/>
        <v/>
      </c>
      <c r="F321" s="255" t="str">
        <f t="shared" si="41"/>
        <v/>
      </c>
      <c r="G321" s="255" t="str">
        <f t="shared" si="42"/>
        <v/>
      </c>
      <c r="H321" s="255" t="e">
        <f t="shared" si="38"/>
        <v>#N/A</v>
      </c>
      <c r="I321" s="257" t="e">
        <f t="shared" si="39"/>
        <v>#N/A</v>
      </c>
    </row>
    <row r="322" spans="1:9" ht="12.75" customHeight="1">
      <c r="A322" s="273"/>
      <c r="B322" s="255" t="e">
        <f t="shared" si="40"/>
        <v>#N/A</v>
      </c>
      <c r="C322" s="255" t="str">
        <f t="shared" si="35"/>
        <v/>
      </c>
      <c r="D322" s="255" t="str">
        <f t="shared" si="36"/>
        <v/>
      </c>
      <c r="E322" s="255" t="str">
        <f t="shared" si="37"/>
        <v/>
      </c>
      <c r="F322" s="255" t="str">
        <f t="shared" si="41"/>
        <v/>
      </c>
      <c r="G322" s="255" t="str">
        <f t="shared" si="42"/>
        <v/>
      </c>
      <c r="H322" s="255" t="e">
        <f t="shared" si="38"/>
        <v>#N/A</v>
      </c>
      <c r="I322" s="257" t="e">
        <f t="shared" si="39"/>
        <v>#N/A</v>
      </c>
    </row>
    <row r="323" spans="1:9" ht="12.75" customHeight="1">
      <c r="A323" s="273"/>
      <c r="B323" s="255" t="e">
        <f t="shared" si="40"/>
        <v>#N/A</v>
      </c>
      <c r="C323" s="255" t="str">
        <f t="shared" si="35"/>
        <v/>
      </c>
      <c r="D323" s="255" t="str">
        <f t="shared" si="36"/>
        <v/>
      </c>
      <c r="E323" s="255" t="str">
        <f t="shared" si="37"/>
        <v/>
      </c>
      <c r="F323" s="255" t="str">
        <f t="shared" si="41"/>
        <v/>
      </c>
      <c r="G323" s="255" t="str">
        <f t="shared" si="42"/>
        <v/>
      </c>
      <c r="H323" s="255" t="e">
        <f t="shared" si="38"/>
        <v>#N/A</v>
      </c>
      <c r="I323" s="257" t="e">
        <f t="shared" si="39"/>
        <v>#N/A</v>
      </c>
    </row>
    <row r="324" spans="1:9" ht="12.75" customHeight="1">
      <c r="A324" s="273"/>
      <c r="B324" s="255" t="e">
        <f t="shared" si="40"/>
        <v>#N/A</v>
      </c>
      <c r="C324" s="255" t="str">
        <f t="shared" si="35"/>
        <v/>
      </c>
      <c r="D324" s="255" t="str">
        <f t="shared" si="36"/>
        <v/>
      </c>
      <c r="E324" s="255" t="str">
        <f t="shared" si="37"/>
        <v/>
      </c>
      <c r="F324" s="255" t="str">
        <f t="shared" si="41"/>
        <v/>
      </c>
      <c r="G324" s="255" t="str">
        <f t="shared" si="42"/>
        <v/>
      </c>
      <c r="H324" s="255" t="e">
        <f t="shared" si="38"/>
        <v>#N/A</v>
      </c>
      <c r="I324" s="257" t="e">
        <f t="shared" si="39"/>
        <v>#N/A</v>
      </c>
    </row>
    <row r="325" spans="1:9" ht="12.75" customHeight="1">
      <c r="A325" s="273"/>
      <c r="B325" s="255" t="e">
        <f t="shared" si="40"/>
        <v>#N/A</v>
      </c>
      <c r="C325" s="255" t="str">
        <f t="shared" ref="C325:C388" si="43">IF(ISBLANK(A325),"",C324+1)</f>
        <v/>
      </c>
      <c r="D325" s="255" t="str">
        <f t="shared" ref="D325:D388" si="44">IF(ISBLANK(A325),"",NORMSDIST((B325-$B$24)/$B$25))</f>
        <v/>
      </c>
      <c r="E325" s="255" t="str">
        <f t="shared" ref="E325:E388" si="45">IF(ISBLANK(A325),"",1-D325)</f>
        <v/>
      </c>
      <c r="F325" s="255" t="str">
        <f t="shared" si="41"/>
        <v/>
      </c>
      <c r="G325" s="255" t="str">
        <f t="shared" si="42"/>
        <v/>
      </c>
      <c r="H325" s="255" t="e">
        <f t="shared" ref="H325:H388" si="46">IF(A325="",NA(),NORMINV((C325-3/8)/($B$23+1/4),$B$24,$B$25))</f>
        <v>#N/A</v>
      </c>
      <c r="I325" s="257" t="e">
        <f t="shared" ref="I325:I388" si="47">IF(B325="",NA(),(C325-3/8)/($B$23+1/4))</f>
        <v>#N/A</v>
      </c>
    </row>
    <row r="326" spans="1:9" ht="12.75" customHeight="1">
      <c r="A326" s="273"/>
      <c r="B326" s="255" t="e">
        <f t="shared" si="40"/>
        <v>#N/A</v>
      </c>
      <c r="C326" s="255" t="str">
        <f t="shared" si="43"/>
        <v/>
      </c>
      <c r="D326" s="255" t="str">
        <f t="shared" si="44"/>
        <v/>
      </c>
      <c r="E326" s="255" t="str">
        <f t="shared" si="45"/>
        <v/>
      </c>
      <c r="F326" s="255" t="str">
        <f t="shared" si="41"/>
        <v/>
      </c>
      <c r="G326" s="255" t="str">
        <f t="shared" si="42"/>
        <v/>
      </c>
      <c r="H326" s="255" t="e">
        <f t="shared" si="46"/>
        <v>#N/A</v>
      </c>
      <c r="I326" s="257" t="e">
        <f t="shared" si="47"/>
        <v>#N/A</v>
      </c>
    </row>
    <row r="327" spans="1:9" ht="12.75" customHeight="1">
      <c r="A327" s="273"/>
      <c r="B327" s="255" t="e">
        <f t="shared" si="40"/>
        <v>#N/A</v>
      </c>
      <c r="C327" s="255" t="str">
        <f t="shared" si="43"/>
        <v/>
      </c>
      <c r="D327" s="255" t="str">
        <f t="shared" si="44"/>
        <v/>
      </c>
      <c r="E327" s="255" t="str">
        <f t="shared" si="45"/>
        <v/>
      </c>
      <c r="F327" s="255" t="str">
        <f t="shared" si="41"/>
        <v/>
      </c>
      <c r="G327" s="255" t="str">
        <f t="shared" si="42"/>
        <v/>
      </c>
      <c r="H327" s="255" t="e">
        <f t="shared" si="46"/>
        <v>#N/A</v>
      </c>
      <c r="I327" s="257" t="e">
        <f t="shared" si="47"/>
        <v>#N/A</v>
      </c>
    </row>
    <row r="328" spans="1:9" ht="12.75" customHeight="1">
      <c r="A328" s="273"/>
      <c r="B328" s="255" t="e">
        <f t="shared" si="40"/>
        <v>#N/A</v>
      </c>
      <c r="C328" s="255" t="str">
        <f t="shared" si="43"/>
        <v/>
      </c>
      <c r="D328" s="255" t="str">
        <f t="shared" si="44"/>
        <v/>
      </c>
      <c r="E328" s="255" t="str">
        <f t="shared" si="45"/>
        <v/>
      </c>
      <c r="F328" s="255" t="str">
        <f t="shared" si="41"/>
        <v/>
      </c>
      <c r="G328" s="255" t="str">
        <f t="shared" si="42"/>
        <v/>
      </c>
      <c r="H328" s="255" t="e">
        <f t="shared" si="46"/>
        <v>#N/A</v>
      </c>
      <c r="I328" s="257" t="e">
        <f t="shared" si="47"/>
        <v>#N/A</v>
      </c>
    </row>
    <row r="329" spans="1:9" ht="12.75" customHeight="1">
      <c r="A329" s="273"/>
      <c r="B329" s="255" t="e">
        <f t="shared" si="40"/>
        <v>#N/A</v>
      </c>
      <c r="C329" s="255" t="str">
        <f t="shared" si="43"/>
        <v/>
      </c>
      <c r="D329" s="255" t="str">
        <f t="shared" si="44"/>
        <v/>
      </c>
      <c r="E329" s="255" t="str">
        <f t="shared" si="45"/>
        <v/>
      </c>
      <c r="F329" s="255" t="str">
        <f t="shared" si="41"/>
        <v/>
      </c>
      <c r="G329" s="255" t="str">
        <f t="shared" si="42"/>
        <v/>
      </c>
      <c r="H329" s="255" t="e">
        <f t="shared" si="46"/>
        <v>#N/A</v>
      </c>
      <c r="I329" s="257" t="e">
        <f t="shared" si="47"/>
        <v>#N/A</v>
      </c>
    </row>
    <row r="330" spans="1:9" ht="12.75" customHeight="1">
      <c r="A330" s="273"/>
      <c r="B330" s="255" t="e">
        <f t="shared" si="40"/>
        <v>#N/A</v>
      </c>
      <c r="C330" s="255" t="str">
        <f t="shared" si="43"/>
        <v/>
      </c>
      <c r="D330" s="255" t="str">
        <f t="shared" si="44"/>
        <v/>
      </c>
      <c r="E330" s="255" t="str">
        <f t="shared" si="45"/>
        <v/>
      </c>
      <c r="F330" s="255" t="str">
        <f t="shared" si="41"/>
        <v/>
      </c>
      <c r="G330" s="255" t="str">
        <f t="shared" si="42"/>
        <v/>
      </c>
      <c r="H330" s="255" t="e">
        <f t="shared" si="46"/>
        <v>#N/A</v>
      </c>
      <c r="I330" s="257" t="e">
        <f t="shared" si="47"/>
        <v>#N/A</v>
      </c>
    </row>
    <row r="331" spans="1:9" ht="12.75" customHeight="1">
      <c r="A331" s="273"/>
      <c r="B331" s="255" t="e">
        <f t="shared" si="40"/>
        <v>#N/A</v>
      </c>
      <c r="C331" s="255" t="str">
        <f t="shared" si="43"/>
        <v/>
      </c>
      <c r="D331" s="255" t="str">
        <f t="shared" si="44"/>
        <v/>
      </c>
      <c r="E331" s="255" t="str">
        <f t="shared" si="45"/>
        <v/>
      </c>
      <c r="F331" s="255" t="str">
        <f t="shared" si="41"/>
        <v/>
      </c>
      <c r="G331" s="255" t="str">
        <f t="shared" si="42"/>
        <v/>
      </c>
      <c r="H331" s="255" t="e">
        <f t="shared" si="46"/>
        <v>#N/A</v>
      </c>
      <c r="I331" s="257" t="e">
        <f t="shared" si="47"/>
        <v>#N/A</v>
      </c>
    </row>
    <row r="332" spans="1:9" ht="12.75" customHeight="1">
      <c r="A332" s="273"/>
      <c r="B332" s="255" t="e">
        <f t="shared" si="40"/>
        <v>#N/A</v>
      </c>
      <c r="C332" s="255" t="str">
        <f t="shared" si="43"/>
        <v/>
      </c>
      <c r="D332" s="255" t="str">
        <f t="shared" si="44"/>
        <v/>
      </c>
      <c r="E332" s="255" t="str">
        <f t="shared" si="45"/>
        <v/>
      </c>
      <c r="F332" s="255" t="str">
        <f t="shared" si="41"/>
        <v/>
      </c>
      <c r="G332" s="255" t="str">
        <f t="shared" si="42"/>
        <v/>
      </c>
      <c r="H332" s="255" t="e">
        <f t="shared" si="46"/>
        <v>#N/A</v>
      </c>
      <c r="I332" s="257" t="e">
        <f t="shared" si="47"/>
        <v>#N/A</v>
      </c>
    </row>
    <row r="333" spans="1:9" ht="12.75" customHeight="1">
      <c r="A333" s="273"/>
      <c r="B333" s="255" t="e">
        <f t="shared" si="40"/>
        <v>#N/A</v>
      </c>
      <c r="C333" s="255" t="str">
        <f t="shared" si="43"/>
        <v/>
      </c>
      <c r="D333" s="255" t="str">
        <f t="shared" si="44"/>
        <v/>
      </c>
      <c r="E333" s="255" t="str">
        <f t="shared" si="45"/>
        <v/>
      </c>
      <c r="F333" s="255" t="str">
        <f t="shared" si="41"/>
        <v/>
      </c>
      <c r="G333" s="255" t="str">
        <f t="shared" si="42"/>
        <v/>
      </c>
      <c r="H333" s="255" t="e">
        <f t="shared" si="46"/>
        <v>#N/A</v>
      </c>
      <c r="I333" s="257" t="e">
        <f t="shared" si="47"/>
        <v>#N/A</v>
      </c>
    </row>
    <row r="334" spans="1:9" ht="12.75" customHeight="1">
      <c r="A334" s="273"/>
      <c r="B334" s="255" t="e">
        <f t="shared" si="40"/>
        <v>#N/A</v>
      </c>
      <c r="C334" s="255" t="str">
        <f t="shared" si="43"/>
        <v/>
      </c>
      <c r="D334" s="255" t="str">
        <f t="shared" si="44"/>
        <v/>
      </c>
      <c r="E334" s="255" t="str">
        <f t="shared" si="45"/>
        <v/>
      </c>
      <c r="F334" s="255" t="str">
        <f t="shared" si="41"/>
        <v/>
      </c>
      <c r="G334" s="255" t="str">
        <f t="shared" si="42"/>
        <v/>
      </c>
      <c r="H334" s="255" t="e">
        <f t="shared" si="46"/>
        <v>#N/A</v>
      </c>
      <c r="I334" s="257" t="e">
        <f t="shared" si="47"/>
        <v>#N/A</v>
      </c>
    </row>
    <row r="335" spans="1:9" ht="12.75" customHeight="1">
      <c r="A335" s="273"/>
      <c r="B335" s="255" t="e">
        <f t="shared" si="40"/>
        <v>#N/A</v>
      </c>
      <c r="C335" s="255" t="str">
        <f t="shared" si="43"/>
        <v/>
      </c>
      <c r="D335" s="255" t="str">
        <f t="shared" si="44"/>
        <v/>
      </c>
      <c r="E335" s="255" t="str">
        <f t="shared" si="45"/>
        <v/>
      </c>
      <c r="F335" s="255" t="str">
        <f t="shared" si="41"/>
        <v/>
      </c>
      <c r="G335" s="255" t="str">
        <f t="shared" si="42"/>
        <v/>
      </c>
      <c r="H335" s="255" t="e">
        <f t="shared" si="46"/>
        <v>#N/A</v>
      </c>
      <c r="I335" s="257" t="e">
        <f t="shared" si="47"/>
        <v>#N/A</v>
      </c>
    </row>
    <row r="336" spans="1:9" ht="12.75" customHeight="1">
      <c r="A336" s="273"/>
      <c r="B336" s="255" t="e">
        <f t="shared" si="40"/>
        <v>#N/A</v>
      </c>
      <c r="C336" s="255" t="str">
        <f t="shared" si="43"/>
        <v/>
      </c>
      <c r="D336" s="255" t="str">
        <f t="shared" si="44"/>
        <v/>
      </c>
      <c r="E336" s="255" t="str">
        <f t="shared" si="45"/>
        <v/>
      </c>
      <c r="F336" s="255" t="str">
        <f t="shared" si="41"/>
        <v/>
      </c>
      <c r="G336" s="255" t="str">
        <f t="shared" si="42"/>
        <v/>
      </c>
      <c r="H336" s="255" t="e">
        <f t="shared" si="46"/>
        <v>#N/A</v>
      </c>
      <c r="I336" s="257" t="e">
        <f t="shared" si="47"/>
        <v>#N/A</v>
      </c>
    </row>
    <row r="337" spans="1:9" ht="12.75" customHeight="1">
      <c r="A337" s="273"/>
      <c r="B337" s="255" t="e">
        <f t="shared" si="40"/>
        <v>#N/A</v>
      </c>
      <c r="C337" s="255" t="str">
        <f t="shared" si="43"/>
        <v/>
      </c>
      <c r="D337" s="255" t="str">
        <f t="shared" si="44"/>
        <v/>
      </c>
      <c r="E337" s="255" t="str">
        <f t="shared" si="45"/>
        <v/>
      </c>
      <c r="F337" s="255" t="str">
        <f t="shared" si="41"/>
        <v/>
      </c>
      <c r="G337" s="255" t="str">
        <f t="shared" si="42"/>
        <v/>
      </c>
      <c r="H337" s="255" t="e">
        <f t="shared" si="46"/>
        <v>#N/A</v>
      </c>
      <c r="I337" s="257" t="e">
        <f t="shared" si="47"/>
        <v>#N/A</v>
      </c>
    </row>
    <row r="338" spans="1:9" ht="12.75" customHeight="1">
      <c r="A338" s="273"/>
      <c r="B338" s="255" t="e">
        <f t="shared" si="40"/>
        <v>#N/A</v>
      </c>
      <c r="C338" s="255" t="str">
        <f t="shared" si="43"/>
        <v/>
      </c>
      <c r="D338" s="255" t="str">
        <f t="shared" si="44"/>
        <v/>
      </c>
      <c r="E338" s="255" t="str">
        <f t="shared" si="45"/>
        <v/>
      </c>
      <c r="F338" s="255" t="str">
        <f t="shared" si="41"/>
        <v/>
      </c>
      <c r="G338" s="255" t="str">
        <f t="shared" si="42"/>
        <v/>
      </c>
      <c r="H338" s="255" t="e">
        <f t="shared" si="46"/>
        <v>#N/A</v>
      </c>
      <c r="I338" s="257" t="e">
        <f t="shared" si="47"/>
        <v>#N/A</v>
      </c>
    </row>
    <row r="339" spans="1:9" ht="12.75" customHeight="1">
      <c r="A339" s="273"/>
      <c r="B339" s="255" t="e">
        <f t="shared" si="40"/>
        <v>#N/A</v>
      </c>
      <c r="C339" s="255" t="str">
        <f t="shared" si="43"/>
        <v/>
      </c>
      <c r="D339" s="255" t="str">
        <f t="shared" si="44"/>
        <v/>
      </c>
      <c r="E339" s="255" t="str">
        <f t="shared" si="45"/>
        <v/>
      </c>
      <c r="F339" s="255" t="str">
        <f t="shared" si="41"/>
        <v/>
      </c>
      <c r="G339" s="255" t="str">
        <f t="shared" si="42"/>
        <v/>
      </c>
      <c r="H339" s="255" t="e">
        <f t="shared" si="46"/>
        <v>#N/A</v>
      </c>
      <c r="I339" s="257" t="e">
        <f t="shared" si="47"/>
        <v>#N/A</v>
      </c>
    </row>
    <row r="340" spans="1:9" ht="12.75" customHeight="1">
      <c r="A340" s="273"/>
      <c r="B340" s="255" t="e">
        <f t="shared" si="40"/>
        <v>#N/A</v>
      </c>
      <c r="C340" s="255" t="str">
        <f t="shared" si="43"/>
        <v/>
      </c>
      <c r="D340" s="255" t="str">
        <f t="shared" si="44"/>
        <v/>
      </c>
      <c r="E340" s="255" t="str">
        <f t="shared" si="45"/>
        <v/>
      </c>
      <c r="F340" s="255" t="str">
        <f t="shared" si="41"/>
        <v/>
      </c>
      <c r="G340" s="255" t="str">
        <f t="shared" si="42"/>
        <v/>
      </c>
      <c r="H340" s="255" t="e">
        <f t="shared" si="46"/>
        <v>#N/A</v>
      </c>
      <c r="I340" s="257" t="e">
        <f t="shared" si="47"/>
        <v>#N/A</v>
      </c>
    </row>
    <row r="341" spans="1:9" ht="12.75" customHeight="1">
      <c r="A341" s="273"/>
      <c r="B341" s="255" t="e">
        <f t="shared" si="40"/>
        <v>#N/A</v>
      </c>
      <c r="C341" s="255" t="str">
        <f t="shared" si="43"/>
        <v/>
      </c>
      <c r="D341" s="255" t="str">
        <f t="shared" si="44"/>
        <v/>
      </c>
      <c r="E341" s="255" t="str">
        <f t="shared" si="45"/>
        <v/>
      </c>
      <c r="F341" s="255" t="str">
        <f t="shared" si="41"/>
        <v/>
      </c>
      <c r="G341" s="255" t="str">
        <f t="shared" si="42"/>
        <v/>
      </c>
      <c r="H341" s="255" t="e">
        <f t="shared" si="46"/>
        <v>#N/A</v>
      </c>
      <c r="I341" s="257" t="e">
        <f t="shared" si="47"/>
        <v>#N/A</v>
      </c>
    </row>
    <row r="342" spans="1:9" ht="12.75" customHeight="1">
      <c r="A342" s="273"/>
      <c r="B342" s="255" t="e">
        <f t="shared" si="40"/>
        <v>#N/A</v>
      </c>
      <c r="C342" s="255" t="str">
        <f t="shared" si="43"/>
        <v/>
      </c>
      <c r="D342" s="255" t="str">
        <f t="shared" si="44"/>
        <v/>
      </c>
      <c r="E342" s="255" t="str">
        <f t="shared" si="45"/>
        <v/>
      </c>
      <c r="F342" s="255" t="str">
        <f t="shared" si="41"/>
        <v/>
      </c>
      <c r="G342" s="255" t="str">
        <f t="shared" si="42"/>
        <v/>
      </c>
      <c r="H342" s="255" t="e">
        <f t="shared" si="46"/>
        <v>#N/A</v>
      </c>
      <c r="I342" s="257" t="e">
        <f t="shared" si="47"/>
        <v>#N/A</v>
      </c>
    </row>
    <row r="343" spans="1:9" ht="12.75" customHeight="1">
      <c r="A343" s="273"/>
      <c r="B343" s="255" t="e">
        <f t="shared" si="40"/>
        <v>#N/A</v>
      </c>
      <c r="C343" s="255" t="str">
        <f t="shared" si="43"/>
        <v/>
      </c>
      <c r="D343" s="255" t="str">
        <f t="shared" si="44"/>
        <v/>
      </c>
      <c r="E343" s="255" t="str">
        <f t="shared" si="45"/>
        <v/>
      </c>
      <c r="F343" s="255" t="str">
        <f t="shared" si="41"/>
        <v/>
      </c>
      <c r="G343" s="255" t="str">
        <f t="shared" si="42"/>
        <v/>
      </c>
      <c r="H343" s="255" t="e">
        <f t="shared" si="46"/>
        <v>#N/A</v>
      </c>
      <c r="I343" s="257" t="e">
        <f t="shared" si="47"/>
        <v>#N/A</v>
      </c>
    </row>
    <row r="344" spans="1:9" ht="12.75" customHeight="1">
      <c r="A344" s="273"/>
      <c r="B344" s="255" t="e">
        <f t="shared" si="40"/>
        <v>#N/A</v>
      </c>
      <c r="C344" s="255" t="str">
        <f t="shared" si="43"/>
        <v/>
      </c>
      <c r="D344" s="255" t="str">
        <f t="shared" si="44"/>
        <v/>
      </c>
      <c r="E344" s="255" t="str">
        <f t="shared" si="45"/>
        <v/>
      </c>
      <c r="F344" s="255" t="str">
        <f t="shared" si="41"/>
        <v/>
      </c>
      <c r="G344" s="255" t="str">
        <f t="shared" si="42"/>
        <v/>
      </c>
      <c r="H344" s="255" t="e">
        <f t="shared" si="46"/>
        <v>#N/A</v>
      </c>
      <c r="I344" s="257" t="e">
        <f t="shared" si="47"/>
        <v>#N/A</v>
      </c>
    </row>
    <row r="345" spans="1:9" ht="12.75" customHeight="1">
      <c r="A345" s="273"/>
      <c r="B345" s="255" t="e">
        <f t="shared" si="40"/>
        <v>#N/A</v>
      </c>
      <c r="C345" s="255" t="str">
        <f t="shared" si="43"/>
        <v/>
      </c>
      <c r="D345" s="255" t="str">
        <f t="shared" si="44"/>
        <v/>
      </c>
      <c r="E345" s="255" t="str">
        <f t="shared" si="45"/>
        <v/>
      </c>
      <c r="F345" s="255" t="str">
        <f t="shared" si="41"/>
        <v/>
      </c>
      <c r="G345" s="255" t="str">
        <f t="shared" si="42"/>
        <v/>
      </c>
      <c r="H345" s="255" t="e">
        <f t="shared" si="46"/>
        <v>#N/A</v>
      </c>
      <c r="I345" s="257" t="e">
        <f t="shared" si="47"/>
        <v>#N/A</v>
      </c>
    </row>
    <row r="346" spans="1:9" ht="12.75" customHeight="1">
      <c r="A346" s="273"/>
      <c r="B346" s="255" t="e">
        <f t="shared" si="40"/>
        <v>#N/A</v>
      </c>
      <c r="C346" s="255" t="str">
        <f t="shared" si="43"/>
        <v/>
      </c>
      <c r="D346" s="255" t="str">
        <f t="shared" si="44"/>
        <v/>
      </c>
      <c r="E346" s="255" t="str">
        <f t="shared" si="45"/>
        <v/>
      </c>
      <c r="F346" s="255" t="str">
        <f t="shared" si="41"/>
        <v/>
      </c>
      <c r="G346" s="255" t="str">
        <f t="shared" si="42"/>
        <v/>
      </c>
      <c r="H346" s="255" t="e">
        <f t="shared" si="46"/>
        <v>#N/A</v>
      </c>
      <c r="I346" s="257" t="e">
        <f t="shared" si="47"/>
        <v>#N/A</v>
      </c>
    </row>
    <row r="347" spans="1:9" ht="12.75" customHeight="1">
      <c r="A347" s="273"/>
      <c r="B347" s="255" t="e">
        <f t="shared" si="40"/>
        <v>#N/A</v>
      </c>
      <c r="C347" s="255" t="str">
        <f t="shared" si="43"/>
        <v/>
      </c>
      <c r="D347" s="255" t="str">
        <f t="shared" si="44"/>
        <v/>
      </c>
      <c r="E347" s="255" t="str">
        <f t="shared" si="45"/>
        <v/>
      </c>
      <c r="F347" s="255" t="str">
        <f t="shared" si="41"/>
        <v/>
      </c>
      <c r="G347" s="255" t="str">
        <f t="shared" si="42"/>
        <v/>
      </c>
      <c r="H347" s="255" t="e">
        <f t="shared" si="46"/>
        <v>#N/A</v>
      </c>
      <c r="I347" s="257" t="e">
        <f t="shared" si="47"/>
        <v>#N/A</v>
      </c>
    </row>
    <row r="348" spans="1:9" ht="12.75" customHeight="1">
      <c r="A348" s="273"/>
      <c r="B348" s="255" t="e">
        <f t="shared" si="40"/>
        <v>#N/A</v>
      </c>
      <c r="C348" s="255" t="str">
        <f t="shared" si="43"/>
        <v/>
      </c>
      <c r="D348" s="255" t="str">
        <f t="shared" si="44"/>
        <v/>
      </c>
      <c r="E348" s="255" t="str">
        <f t="shared" si="45"/>
        <v/>
      </c>
      <c r="F348" s="255" t="str">
        <f t="shared" si="41"/>
        <v/>
      </c>
      <c r="G348" s="255" t="str">
        <f t="shared" si="42"/>
        <v/>
      </c>
      <c r="H348" s="255" t="e">
        <f t="shared" si="46"/>
        <v>#N/A</v>
      </c>
      <c r="I348" s="257" t="e">
        <f t="shared" si="47"/>
        <v>#N/A</v>
      </c>
    </row>
    <row r="349" spans="1:9" ht="12.75" customHeight="1">
      <c r="A349" s="273"/>
      <c r="B349" s="255" t="e">
        <f t="shared" si="40"/>
        <v>#N/A</v>
      </c>
      <c r="C349" s="255" t="str">
        <f t="shared" si="43"/>
        <v/>
      </c>
      <c r="D349" s="255" t="str">
        <f t="shared" si="44"/>
        <v/>
      </c>
      <c r="E349" s="255" t="str">
        <f t="shared" si="45"/>
        <v/>
      </c>
      <c r="F349" s="255" t="str">
        <f t="shared" si="41"/>
        <v/>
      </c>
      <c r="G349" s="255" t="str">
        <f t="shared" si="42"/>
        <v/>
      </c>
      <c r="H349" s="255" t="e">
        <f t="shared" si="46"/>
        <v>#N/A</v>
      </c>
      <c r="I349" s="257" t="e">
        <f t="shared" si="47"/>
        <v>#N/A</v>
      </c>
    </row>
    <row r="350" spans="1:9" ht="12.75" customHeight="1">
      <c r="A350" s="273"/>
      <c r="B350" s="255" t="e">
        <f t="shared" si="40"/>
        <v>#N/A</v>
      </c>
      <c r="C350" s="255" t="str">
        <f t="shared" si="43"/>
        <v/>
      </c>
      <c r="D350" s="255" t="str">
        <f t="shared" si="44"/>
        <v/>
      </c>
      <c r="E350" s="255" t="str">
        <f t="shared" si="45"/>
        <v/>
      </c>
      <c r="F350" s="255" t="str">
        <f t="shared" si="41"/>
        <v/>
      </c>
      <c r="G350" s="255" t="str">
        <f t="shared" si="42"/>
        <v/>
      </c>
      <c r="H350" s="255" t="e">
        <f t="shared" si="46"/>
        <v>#N/A</v>
      </c>
      <c r="I350" s="257" t="e">
        <f t="shared" si="47"/>
        <v>#N/A</v>
      </c>
    </row>
    <row r="351" spans="1:9" ht="12.75" customHeight="1">
      <c r="A351" s="273"/>
      <c r="B351" s="255" t="e">
        <f t="shared" si="40"/>
        <v>#N/A</v>
      </c>
      <c r="C351" s="255" t="str">
        <f t="shared" si="43"/>
        <v/>
      </c>
      <c r="D351" s="255" t="str">
        <f t="shared" si="44"/>
        <v/>
      </c>
      <c r="E351" s="255" t="str">
        <f t="shared" si="45"/>
        <v/>
      </c>
      <c r="F351" s="255" t="str">
        <f t="shared" si="41"/>
        <v/>
      </c>
      <c r="G351" s="255" t="str">
        <f t="shared" si="42"/>
        <v/>
      </c>
      <c r="H351" s="255" t="e">
        <f t="shared" si="46"/>
        <v>#N/A</v>
      </c>
      <c r="I351" s="257" t="e">
        <f t="shared" si="47"/>
        <v>#N/A</v>
      </c>
    </row>
    <row r="352" spans="1:9" ht="12.75" customHeight="1">
      <c r="A352" s="273"/>
      <c r="B352" s="255" t="e">
        <f t="shared" si="40"/>
        <v>#N/A</v>
      </c>
      <c r="C352" s="255" t="str">
        <f t="shared" si="43"/>
        <v/>
      </c>
      <c r="D352" s="255" t="str">
        <f t="shared" si="44"/>
        <v/>
      </c>
      <c r="E352" s="255" t="str">
        <f t="shared" si="45"/>
        <v/>
      </c>
      <c r="F352" s="255" t="str">
        <f t="shared" si="41"/>
        <v/>
      </c>
      <c r="G352" s="255" t="str">
        <f t="shared" si="42"/>
        <v/>
      </c>
      <c r="H352" s="255" t="e">
        <f t="shared" si="46"/>
        <v>#N/A</v>
      </c>
      <c r="I352" s="257" t="e">
        <f t="shared" si="47"/>
        <v>#N/A</v>
      </c>
    </row>
    <row r="353" spans="1:9" ht="12.75" customHeight="1">
      <c r="A353" s="273"/>
      <c r="B353" s="255" t="e">
        <f t="shared" si="40"/>
        <v>#N/A</v>
      </c>
      <c r="C353" s="255" t="str">
        <f t="shared" si="43"/>
        <v/>
      </c>
      <c r="D353" s="255" t="str">
        <f t="shared" si="44"/>
        <v/>
      </c>
      <c r="E353" s="255" t="str">
        <f t="shared" si="45"/>
        <v/>
      </c>
      <c r="F353" s="255" t="str">
        <f t="shared" si="41"/>
        <v/>
      </c>
      <c r="G353" s="255" t="str">
        <f t="shared" si="42"/>
        <v/>
      </c>
      <c r="H353" s="255" t="e">
        <f t="shared" si="46"/>
        <v>#N/A</v>
      </c>
      <c r="I353" s="257" t="e">
        <f t="shared" si="47"/>
        <v>#N/A</v>
      </c>
    </row>
    <row r="354" spans="1:9" ht="12.75" customHeight="1">
      <c r="A354" s="273"/>
      <c r="B354" s="255" t="e">
        <f t="shared" si="40"/>
        <v>#N/A</v>
      </c>
      <c r="C354" s="255" t="str">
        <f t="shared" si="43"/>
        <v/>
      </c>
      <c r="D354" s="255" t="str">
        <f t="shared" si="44"/>
        <v/>
      </c>
      <c r="E354" s="255" t="str">
        <f t="shared" si="45"/>
        <v/>
      </c>
      <c r="F354" s="255" t="str">
        <f t="shared" si="41"/>
        <v/>
      </c>
      <c r="G354" s="255" t="str">
        <f t="shared" si="42"/>
        <v/>
      </c>
      <c r="H354" s="255" t="e">
        <f t="shared" si="46"/>
        <v>#N/A</v>
      </c>
      <c r="I354" s="257" t="e">
        <f t="shared" si="47"/>
        <v>#N/A</v>
      </c>
    </row>
    <row r="355" spans="1:9" ht="12.75" customHeight="1">
      <c r="A355" s="273"/>
      <c r="B355" s="255" t="e">
        <f t="shared" ref="B355:B418" si="48">IF(ISBLANK(A355),NA(),SMALL(A$34:A$533,C355))</f>
        <v>#N/A</v>
      </c>
      <c r="C355" s="255" t="str">
        <f t="shared" si="43"/>
        <v/>
      </c>
      <c r="D355" s="255" t="str">
        <f t="shared" si="44"/>
        <v/>
      </c>
      <c r="E355" s="255" t="str">
        <f t="shared" si="45"/>
        <v/>
      </c>
      <c r="F355" s="255" t="str">
        <f t="shared" ref="F355:F418" si="49">IF(ISBLANK(A355),"",SMALL($E$34:$E$533,C355))</f>
        <v/>
      </c>
      <c r="G355" s="255" t="str">
        <f t="shared" ref="G355:G418" si="50">IF(ISBLANK(A355),"",(2*C355-1)*(LN(F355)+LN(D355)))</f>
        <v/>
      </c>
      <c r="H355" s="255" t="e">
        <f t="shared" si="46"/>
        <v>#N/A</v>
      </c>
      <c r="I355" s="257" t="e">
        <f t="shared" si="47"/>
        <v>#N/A</v>
      </c>
    </row>
    <row r="356" spans="1:9" ht="12.75" customHeight="1">
      <c r="A356" s="273"/>
      <c r="B356" s="255" t="e">
        <f t="shared" si="48"/>
        <v>#N/A</v>
      </c>
      <c r="C356" s="255" t="str">
        <f t="shared" si="43"/>
        <v/>
      </c>
      <c r="D356" s="255" t="str">
        <f t="shared" si="44"/>
        <v/>
      </c>
      <c r="E356" s="255" t="str">
        <f t="shared" si="45"/>
        <v/>
      </c>
      <c r="F356" s="255" t="str">
        <f t="shared" si="49"/>
        <v/>
      </c>
      <c r="G356" s="255" t="str">
        <f t="shared" si="50"/>
        <v/>
      </c>
      <c r="H356" s="255" t="e">
        <f t="shared" si="46"/>
        <v>#N/A</v>
      </c>
      <c r="I356" s="257" t="e">
        <f t="shared" si="47"/>
        <v>#N/A</v>
      </c>
    </row>
    <row r="357" spans="1:9" ht="12.75" customHeight="1">
      <c r="A357" s="273"/>
      <c r="B357" s="255" t="e">
        <f t="shared" si="48"/>
        <v>#N/A</v>
      </c>
      <c r="C357" s="255" t="str">
        <f t="shared" si="43"/>
        <v/>
      </c>
      <c r="D357" s="255" t="str">
        <f t="shared" si="44"/>
        <v/>
      </c>
      <c r="E357" s="255" t="str">
        <f t="shared" si="45"/>
        <v/>
      </c>
      <c r="F357" s="255" t="str">
        <f t="shared" si="49"/>
        <v/>
      </c>
      <c r="G357" s="255" t="str">
        <f t="shared" si="50"/>
        <v/>
      </c>
      <c r="H357" s="255" t="e">
        <f t="shared" si="46"/>
        <v>#N/A</v>
      </c>
      <c r="I357" s="257" t="e">
        <f t="shared" si="47"/>
        <v>#N/A</v>
      </c>
    </row>
    <row r="358" spans="1:9" ht="12.75" customHeight="1">
      <c r="A358" s="273"/>
      <c r="B358" s="255" t="e">
        <f t="shared" si="48"/>
        <v>#N/A</v>
      </c>
      <c r="C358" s="255" t="str">
        <f t="shared" si="43"/>
        <v/>
      </c>
      <c r="D358" s="255" t="str">
        <f t="shared" si="44"/>
        <v/>
      </c>
      <c r="E358" s="255" t="str">
        <f t="shared" si="45"/>
        <v/>
      </c>
      <c r="F358" s="255" t="str">
        <f t="shared" si="49"/>
        <v/>
      </c>
      <c r="G358" s="255" t="str">
        <f t="shared" si="50"/>
        <v/>
      </c>
      <c r="H358" s="255" t="e">
        <f t="shared" si="46"/>
        <v>#N/A</v>
      </c>
      <c r="I358" s="257" t="e">
        <f t="shared" si="47"/>
        <v>#N/A</v>
      </c>
    </row>
    <row r="359" spans="1:9" ht="12.75" customHeight="1">
      <c r="A359" s="273"/>
      <c r="B359" s="255" t="e">
        <f t="shared" si="48"/>
        <v>#N/A</v>
      </c>
      <c r="C359" s="255" t="str">
        <f t="shared" si="43"/>
        <v/>
      </c>
      <c r="D359" s="255" t="str">
        <f t="shared" si="44"/>
        <v/>
      </c>
      <c r="E359" s="255" t="str">
        <f t="shared" si="45"/>
        <v/>
      </c>
      <c r="F359" s="255" t="str">
        <f t="shared" si="49"/>
        <v/>
      </c>
      <c r="G359" s="255" t="str">
        <f t="shared" si="50"/>
        <v/>
      </c>
      <c r="H359" s="255" t="e">
        <f t="shared" si="46"/>
        <v>#N/A</v>
      </c>
      <c r="I359" s="257" t="e">
        <f t="shared" si="47"/>
        <v>#N/A</v>
      </c>
    </row>
    <row r="360" spans="1:9" ht="12.75" customHeight="1">
      <c r="A360" s="273"/>
      <c r="B360" s="255" t="e">
        <f t="shared" si="48"/>
        <v>#N/A</v>
      </c>
      <c r="C360" s="255" t="str">
        <f t="shared" si="43"/>
        <v/>
      </c>
      <c r="D360" s="255" t="str">
        <f t="shared" si="44"/>
        <v/>
      </c>
      <c r="E360" s="255" t="str">
        <f t="shared" si="45"/>
        <v/>
      </c>
      <c r="F360" s="255" t="str">
        <f t="shared" si="49"/>
        <v/>
      </c>
      <c r="G360" s="255" t="str">
        <f t="shared" si="50"/>
        <v/>
      </c>
      <c r="H360" s="255" t="e">
        <f t="shared" si="46"/>
        <v>#N/A</v>
      </c>
      <c r="I360" s="257" t="e">
        <f t="shared" si="47"/>
        <v>#N/A</v>
      </c>
    </row>
    <row r="361" spans="1:9" ht="12.75" customHeight="1">
      <c r="A361" s="273"/>
      <c r="B361" s="255" t="e">
        <f t="shared" si="48"/>
        <v>#N/A</v>
      </c>
      <c r="C361" s="255" t="str">
        <f t="shared" si="43"/>
        <v/>
      </c>
      <c r="D361" s="255" t="str">
        <f t="shared" si="44"/>
        <v/>
      </c>
      <c r="E361" s="255" t="str">
        <f t="shared" si="45"/>
        <v/>
      </c>
      <c r="F361" s="255" t="str">
        <f t="shared" si="49"/>
        <v/>
      </c>
      <c r="G361" s="255" t="str">
        <f t="shared" si="50"/>
        <v/>
      </c>
      <c r="H361" s="255" t="e">
        <f t="shared" si="46"/>
        <v>#N/A</v>
      </c>
      <c r="I361" s="257" t="e">
        <f t="shared" si="47"/>
        <v>#N/A</v>
      </c>
    </row>
    <row r="362" spans="1:9" ht="12.75" customHeight="1">
      <c r="A362" s="273"/>
      <c r="B362" s="255" t="e">
        <f t="shared" si="48"/>
        <v>#N/A</v>
      </c>
      <c r="C362" s="255" t="str">
        <f t="shared" si="43"/>
        <v/>
      </c>
      <c r="D362" s="255" t="str">
        <f t="shared" si="44"/>
        <v/>
      </c>
      <c r="E362" s="255" t="str">
        <f t="shared" si="45"/>
        <v/>
      </c>
      <c r="F362" s="255" t="str">
        <f t="shared" si="49"/>
        <v/>
      </c>
      <c r="G362" s="255" t="str">
        <f t="shared" si="50"/>
        <v/>
      </c>
      <c r="H362" s="255" t="e">
        <f t="shared" si="46"/>
        <v>#N/A</v>
      </c>
      <c r="I362" s="257" t="e">
        <f t="shared" si="47"/>
        <v>#N/A</v>
      </c>
    </row>
    <row r="363" spans="1:9" ht="12.75" customHeight="1">
      <c r="A363" s="273"/>
      <c r="B363" s="255" t="e">
        <f t="shared" si="48"/>
        <v>#N/A</v>
      </c>
      <c r="C363" s="255" t="str">
        <f t="shared" si="43"/>
        <v/>
      </c>
      <c r="D363" s="255" t="str">
        <f t="shared" si="44"/>
        <v/>
      </c>
      <c r="E363" s="255" t="str">
        <f t="shared" si="45"/>
        <v/>
      </c>
      <c r="F363" s="255" t="str">
        <f t="shared" si="49"/>
        <v/>
      </c>
      <c r="G363" s="255" t="str">
        <f t="shared" si="50"/>
        <v/>
      </c>
      <c r="H363" s="255" t="e">
        <f t="shared" si="46"/>
        <v>#N/A</v>
      </c>
      <c r="I363" s="257" t="e">
        <f t="shared" si="47"/>
        <v>#N/A</v>
      </c>
    </row>
    <row r="364" spans="1:9" ht="12.75" customHeight="1">
      <c r="A364" s="273"/>
      <c r="B364" s="255" t="e">
        <f t="shared" si="48"/>
        <v>#N/A</v>
      </c>
      <c r="C364" s="255" t="str">
        <f t="shared" si="43"/>
        <v/>
      </c>
      <c r="D364" s="255" t="str">
        <f t="shared" si="44"/>
        <v/>
      </c>
      <c r="E364" s="255" t="str">
        <f t="shared" si="45"/>
        <v/>
      </c>
      <c r="F364" s="255" t="str">
        <f t="shared" si="49"/>
        <v/>
      </c>
      <c r="G364" s="255" t="str">
        <f t="shared" si="50"/>
        <v/>
      </c>
      <c r="H364" s="255" t="e">
        <f t="shared" si="46"/>
        <v>#N/A</v>
      </c>
      <c r="I364" s="257" t="e">
        <f t="shared" si="47"/>
        <v>#N/A</v>
      </c>
    </row>
    <row r="365" spans="1:9" ht="12.75" customHeight="1">
      <c r="A365" s="273"/>
      <c r="B365" s="255" t="e">
        <f t="shared" si="48"/>
        <v>#N/A</v>
      </c>
      <c r="C365" s="255" t="str">
        <f t="shared" si="43"/>
        <v/>
      </c>
      <c r="D365" s="255" t="str">
        <f t="shared" si="44"/>
        <v/>
      </c>
      <c r="E365" s="255" t="str">
        <f t="shared" si="45"/>
        <v/>
      </c>
      <c r="F365" s="255" t="str">
        <f t="shared" si="49"/>
        <v/>
      </c>
      <c r="G365" s="255" t="str">
        <f t="shared" si="50"/>
        <v/>
      </c>
      <c r="H365" s="255" t="e">
        <f t="shared" si="46"/>
        <v>#N/A</v>
      </c>
      <c r="I365" s="257" t="e">
        <f t="shared" si="47"/>
        <v>#N/A</v>
      </c>
    </row>
    <row r="366" spans="1:9" ht="12.75" customHeight="1">
      <c r="A366" s="273"/>
      <c r="B366" s="255" t="e">
        <f t="shared" si="48"/>
        <v>#N/A</v>
      </c>
      <c r="C366" s="255" t="str">
        <f t="shared" si="43"/>
        <v/>
      </c>
      <c r="D366" s="255" t="str">
        <f t="shared" si="44"/>
        <v/>
      </c>
      <c r="E366" s="255" t="str">
        <f t="shared" si="45"/>
        <v/>
      </c>
      <c r="F366" s="255" t="str">
        <f t="shared" si="49"/>
        <v/>
      </c>
      <c r="G366" s="255" t="str">
        <f t="shared" si="50"/>
        <v/>
      </c>
      <c r="H366" s="255" t="e">
        <f t="shared" si="46"/>
        <v>#N/A</v>
      </c>
      <c r="I366" s="257" t="e">
        <f t="shared" si="47"/>
        <v>#N/A</v>
      </c>
    </row>
    <row r="367" spans="1:9" ht="12.75" customHeight="1">
      <c r="A367" s="273"/>
      <c r="B367" s="255" t="e">
        <f t="shared" si="48"/>
        <v>#N/A</v>
      </c>
      <c r="C367" s="255" t="str">
        <f t="shared" si="43"/>
        <v/>
      </c>
      <c r="D367" s="255" t="str">
        <f t="shared" si="44"/>
        <v/>
      </c>
      <c r="E367" s="255" t="str">
        <f t="shared" si="45"/>
        <v/>
      </c>
      <c r="F367" s="255" t="str">
        <f t="shared" si="49"/>
        <v/>
      </c>
      <c r="G367" s="255" t="str">
        <f t="shared" si="50"/>
        <v/>
      </c>
      <c r="H367" s="255" t="e">
        <f t="shared" si="46"/>
        <v>#N/A</v>
      </c>
      <c r="I367" s="257" t="e">
        <f t="shared" si="47"/>
        <v>#N/A</v>
      </c>
    </row>
    <row r="368" spans="1:9" ht="12.75" customHeight="1">
      <c r="A368" s="273"/>
      <c r="B368" s="255" t="e">
        <f t="shared" si="48"/>
        <v>#N/A</v>
      </c>
      <c r="C368" s="255" t="str">
        <f t="shared" si="43"/>
        <v/>
      </c>
      <c r="D368" s="255" t="str">
        <f t="shared" si="44"/>
        <v/>
      </c>
      <c r="E368" s="255" t="str">
        <f t="shared" si="45"/>
        <v/>
      </c>
      <c r="F368" s="255" t="str">
        <f t="shared" si="49"/>
        <v/>
      </c>
      <c r="G368" s="255" t="str">
        <f t="shared" si="50"/>
        <v/>
      </c>
      <c r="H368" s="255" t="e">
        <f t="shared" si="46"/>
        <v>#N/A</v>
      </c>
      <c r="I368" s="257" t="e">
        <f t="shared" si="47"/>
        <v>#N/A</v>
      </c>
    </row>
    <row r="369" spans="1:9" ht="12.75" customHeight="1">
      <c r="A369" s="273"/>
      <c r="B369" s="255" t="e">
        <f t="shared" si="48"/>
        <v>#N/A</v>
      </c>
      <c r="C369" s="255" t="str">
        <f t="shared" si="43"/>
        <v/>
      </c>
      <c r="D369" s="255" t="str">
        <f t="shared" si="44"/>
        <v/>
      </c>
      <c r="E369" s="255" t="str">
        <f t="shared" si="45"/>
        <v/>
      </c>
      <c r="F369" s="255" t="str">
        <f t="shared" si="49"/>
        <v/>
      </c>
      <c r="G369" s="255" t="str">
        <f t="shared" si="50"/>
        <v/>
      </c>
      <c r="H369" s="255" t="e">
        <f t="shared" si="46"/>
        <v>#N/A</v>
      </c>
      <c r="I369" s="257" t="e">
        <f t="shared" si="47"/>
        <v>#N/A</v>
      </c>
    </row>
    <row r="370" spans="1:9" ht="12.75" customHeight="1">
      <c r="A370" s="273"/>
      <c r="B370" s="255" t="e">
        <f t="shared" si="48"/>
        <v>#N/A</v>
      </c>
      <c r="C370" s="255" t="str">
        <f t="shared" si="43"/>
        <v/>
      </c>
      <c r="D370" s="255" t="str">
        <f t="shared" si="44"/>
        <v/>
      </c>
      <c r="E370" s="255" t="str">
        <f t="shared" si="45"/>
        <v/>
      </c>
      <c r="F370" s="255" t="str">
        <f t="shared" si="49"/>
        <v/>
      </c>
      <c r="G370" s="255" t="str">
        <f t="shared" si="50"/>
        <v/>
      </c>
      <c r="H370" s="255" t="e">
        <f t="shared" si="46"/>
        <v>#N/A</v>
      </c>
      <c r="I370" s="257" t="e">
        <f t="shared" si="47"/>
        <v>#N/A</v>
      </c>
    </row>
    <row r="371" spans="1:9" ht="12.75" customHeight="1">
      <c r="A371" s="273"/>
      <c r="B371" s="255" t="e">
        <f t="shared" si="48"/>
        <v>#N/A</v>
      </c>
      <c r="C371" s="255" t="str">
        <f t="shared" si="43"/>
        <v/>
      </c>
      <c r="D371" s="255" t="str">
        <f t="shared" si="44"/>
        <v/>
      </c>
      <c r="E371" s="255" t="str">
        <f t="shared" si="45"/>
        <v/>
      </c>
      <c r="F371" s="255" t="str">
        <f t="shared" si="49"/>
        <v/>
      </c>
      <c r="G371" s="255" t="str">
        <f t="shared" si="50"/>
        <v/>
      </c>
      <c r="H371" s="255" t="e">
        <f t="shared" si="46"/>
        <v>#N/A</v>
      </c>
      <c r="I371" s="257" t="e">
        <f t="shared" si="47"/>
        <v>#N/A</v>
      </c>
    </row>
    <row r="372" spans="1:9" ht="12.75" customHeight="1">
      <c r="A372" s="273"/>
      <c r="B372" s="255" t="e">
        <f t="shared" si="48"/>
        <v>#N/A</v>
      </c>
      <c r="C372" s="255" t="str">
        <f t="shared" si="43"/>
        <v/>
      </c>
      <c r="D372" s="255" t="str">
        <f t="shared" si="44"/>
        <v/>
      </c>
      <c r="E372" s="255" t="str">
        <f t="shared" si="45"/>
        <v/>
      </c>
      <c r="F372" s="255" t="str">
        <f t="shared" si="49"/>
        <v/>
      </c>
      <c r="G372" s="255" t="str">
        <f t="shared" si="50"/>
        <v/>
      </c>
      <c r="H372" s="255" t="e">
        <f t="shared" si="46"/>
        <v>#N/A</v>
      </c>
      <c r="I372" s="257" t="e">
        <f t="shared" si="47"/>
        <v>#N/A</v>
      </c>
    </row>
    <row r="373" spans="1:9" ht="12.75" customHeight="1">
      <c r="A373" s="273"/>
      <c r="B373" s="255" t="e">
        <f t="shared" si="48"/>
        <v>#N/A</v>
      </c>
      <c r="C373" s="255" t="str">
        <f t="shared" si="43"/>
        <v/>
      </c>
      <c r="D373" s="255" t="str">
        <f t="shared" si="44"/>
        <v/>
      </c>
      <c r="E373" s="255" t="str">
        <f t="shared" si="45"/>
        <v/>
      </c>
      <c r="F373" s="255" t="str">
        <f t="shared" si="49"/>
        <v/>
      </c>
      <c r="G373" s="255" t="str">
        <f t="shared" si="50"/>
        <v/>
      </c>
      <c r="H373" s="255" t="e">
        <f t="shared" si="46"/>
        <v>#N/A</v>
      </c>
      <c r="I373" s="257" t="e">
        <f t="shared" si="47"/>
        <v>#N/A</v>
      </c>
    </row>
    <row r="374" spans="1:9" ht="12.75" customHeight="1">
      <c r="A374" s="273"/>
      <c r="B374" s="255" t="e">
        <f t="shared" si="48"/>
        <v>#N/A</v>
      </c>
      <c r="C374" s="255" t="str">
        <f t="shared" si="43"/>
        <v/>
      </c>
      <c r="D374" s="255" t="str">
        <f t="shared" si="44"/>
        <v/>
      </c>
      <c r="E374" s="255" t="str">
        <f t="shared" si="45"/>
        <v/>
      </c>
      <c r="F374" s="255" t="str">
        <f t="shared" si="49"/>
        <v/>
      </c>
      <c r="G374" s="255" t="str">
        <f t="shared" si="50"/>
        <v/>
      </c>
      <c r="H374" s="255" t="e">
        <f t="shared" si="46"/>
        <v>#N/A</v>
      </c>
      <c r="I374" s="257" t="e">
        <f t="shared" si="47"/>
        <v>#N/A</v>
      </c>
    </row>
    <row r="375" spans="1:9" ht="12.75" customHeight="1">
      <c r="A375" s="273"/>
      <c r="B375" s="255" t="e">
        <f t="shared" si="48"/>
        <v>#N/A</v>
      </c>
      <c r="C375" s="255" t="str">
        <f t="shared" si="43"/>
        <v/>
      </c>
      <c r="D375" s="255" t="str">
        <f t="shared" si="44"/>
        <v/>
      </c>
      <c r="E375" s="255" t="str">
        <f t="shared" si="45"/>
        <v/>
      </c>
      <c r="F375" s="255" t="str">
        <f t="shared" si="49"/>
        <v/>
      </c>
      <c r="G375" s="255" t="str">
        <f t="shared" si="50"/>
        <v/>
      </c>
      <c r="H375" s="255" t="e">
        <f t="shared" si="46"/>
        <v>#N/A</v>
      </c>
      <c r="I375" s="257" t="e">
        <f t="shared" si="47"/>
        <v>#N/A</v>
      </c>
    </row>
    <row r="376" spans="1:9" ht="12.75" customHeight="1">
      <c r="A376" s="273"/>
      <c r="B376" s="255" t="e">
        <f t="shared" si="48"/>
        <v>#N/A</v>
      </c>
      <c r="C376" s="255" t="str">
        <f t="shared" si="43"/>
        <v/>
      </c>
      <c r="D376" s="255" t="str">
        <f t="shared" si="44"/>
        <v/>
      </c>
      <c r="E376" s="255" t="str">
        <f t="shared" si="45"/>
        <v/>
      </c>
      <c r="F376" s="255" t="str">
        <f t="shared" si="49"/>
        <v/>
      </c>
      <c r="G376" s="255" t="str">
        <f t="shared" si="50"/>
        <v/>
      </c>
      <c r="H376" s="255" t="e">
        <f t="shared" si="46"/>
        <v>#N/A</v>
      </c>
      <c r="I376" s="257" t="e">
        <f t="shared" si="47"/>
        <v>#N/A</v>
      </c>
    </row>
    <row r="377" spans="1:9" ht="12.75" customHeight="1">
      <c r="A377" s="273"/>
      <c r="B377" s="255" t="e">
        <f t="shared" si="48"/>
        <v>#N/A</v>
      </c>
      <c r="C377" s="255" t="str">
        <f t="shared" si="43"/>
        <v/>
      </c>
      <c r="D377" s="255" t="str">
        <f t="shared" si="44"/>
        <v/>
      </c>
      <c r="E377" s="255" t="str">
        <f t="shared" si="45"/>
        <v/>
      </c>
      <c r="F377" s="255" t="str">
        <f t="shared" si="49"/>
        <v/>
      </c>
      <c r="G377" s="255" t="str">
        <f t="shared" si="50"/>
        <v/>
      </c>
      <c r="H377" s="255" t="e">
        <f t="shared" si="46"/>
        <v>#N/A</v>
      </c>
      <c r="I377" s="257" t="e">
        <f t="shared" si="47"/>
        <v>#N/A</v>
      </c>
    </row>
    <row r="378" spans="1:9" ht="12.75" customHeight="1">
      <c r="A378" s="273"/>
      <c r="B378" s="255" t="e">
        <f t="shared" si="48"/>
        <v>#N/A</v>
      </c>
      <c r="C378" s="255" t="str">
        <f t="shared" si="43"/>
        <v/>
      </c>
      <c r="D378" s="255" t="str">
        <f t="shared" si="44"/>
        <v/>
      </c>
      <c r="E378" s="255" t="str">
        <f t="shared" si="45"/>
        <v/>
      </c>
      <c r="F378" s="255" t="str">
        <f t="shared" si="49"/>
        <v/>
      </c>
      <c r="G378" s="255" t="str">
        <f t="shared" si="50"/>
        <v/>
      </c>
      <c r="H378" s="255" t="e">
        <f t="shared" si="46"/>
        <v>#N/A</v>
      </c>
      <c r="I378" s="257" t="e">
        <f t="shared" si="47"/>
        <v>#N/A</v>
      </c>
    </row>
    <row r="379" spans="1:9" ht="12.75" customHeight="1">
      <c r="A379" s="273"/>
      <c r="B379" s="255" t="e">
        <f t="shared" si="48"/>
        <v>#N/A</v>
      </c>
      <c r="C379" s="255" t="str">
        <f t="shared" si="43"/>
        <v/>
      </c>
      <c r="D379" s="255" t="str">
        <f t="shared" si="44"/>
        <v/>
      </c>
      <c r="E379" s="255" t="str">
        <f t="shared" si="45"/>
        <v/>
      </c>
      <c r="F379" s="255" t="str">
        <f t="shared" si="49"/>
        <v/>
      </c>
      <c r="G379" s="255" t="str">
        <f t="shared" si="50"/>
        <v/>
      </c>
      <c r="H379" s="255" t="e">
        <f t="shared" si="46"/>
        <v>#N/A</v>
      </c>
      <c r="I379" s="257" t="e">
        <f t="shared" si="47"/>
        <v>#N/A</v>
      </c>
    </row>
    <row r="380" spans="1:9" ht="12.75" customHeight="1">
      <c r="A380" s="273"/>
      <c r="B380" s="255" t="e">
        <f t="shared" si="48"/>
        <v>#N/A</v>
      </c>
      <c r="C380" s="255" t="str">
        <f t="shared" si="43"/>
        <v/>
      </c>
      <c r="D380" s="255" t="str">
        <f t="shared" si="44"/>
        <v/>
      </c>
      <c r="E380" s="255" t="str">
        <f t="shared" si="45"/>
        <v/>
      </c>
      <c r="F380" s="255" t="str">
        <f t="shared" si="49"/>
        <v/>
      </c>
      <c r="G380" s="255" t="str">
        <f t="shared" si="50"/>
        <v/>
      </c>
      <c r="H380" s="255" t="e">
        <f t="shared" si="46"/>
        <v>#N/A</v>
      </c>
      <c r="I380" s="257" t="e">
        <f t="shared" si="47"/>
        <v>#N/A</v>
      </c>
    </row>
    <row r="381" spans="1:9" ht="12.75" customHeight="1">
      <c r="A381" s="273"/>
      <c r="B381" s="255" t="e">
        <f t="shared" si="48"/>
        <v>#N/A</v>
      </c>
      <c r="C381" s="255" t="str">
        <f t="shared" si="43"/>
        <v/>
      </c>
      <c r="D381" s="255" t="str">
        <f t="shared" si="44"/>
        <v/>
      </c>
      <c r="E381" s="255" t="str">
        <f t="shared" si="45"/>
        <v/>
      </c>
      <c r="F381" s="255" t="str">
        <f t="shared" si="49"/>
        <v/>
      </c>
      <c r="G381" s="255" t="str">
        <f t="shared" si="50"/>
        <v/>
      </c>
      <c r="H381" s="255" t="e">
        <f t="shared" si="46"/>
        <v>#N/A</v>
      </c>
      <c r="I381" s="257" t="e">
        <f t="shared" si="47"/>
        <v>#N/A</v>
      </c>
    </row>
    <row r="382" spans="1:9" ht="12.75" customHeight="1">
      <c r="A382" s="273"/>
      <c r="B382" s="255" t="e">
        <f t="shared" si="48"/>
        <v>#N/A</v>
      </c>
      <c r="C382" s="255" t="str">
        <f t="shared" si="43"/>
        <v/>
      </c>
      <c r="D382" s="255" t="str">
        <f t="shared" si="44"/>
        <v/>
      </c>
      <c r="E382" s="255" t="str">
        <f t="shared" si="45"/>
        <v/>
      </c>
      <c r="F382" s="255" t="str">
        <f t="shared" si="49"/>
        <v/>
      </c>
      <c r="G382" s="255" t="str">
        <f t="shared" si="50"/>
        <v/>
      </c>
      <c r="H382" s="255" t="e">
        <f t="shared" si="46"/>
        <v>#N/A</v>
      </c>
      <c r="I382" s="257" t="e">
        <f t="shared" si="47"/>
        <v>#N/A</v>
      </c>
    </row>
    <row r="383" spans="1:9" ht="12.75" customHeight="1">
      <c r="A383" s="273"/>
      <c r="B383" s="255" t="e">
        <f t="shared" si="48"/>
        <v>#N/A</v>
      </c>
      <c r="C383" s="255" t="str">
        <f t="shared" si="43"/>
        <v/>
      </c>
      <c r="D383" s="255" t="str">
        <f t="shared" si="44"/>
        <v/>
      </c>
      <c r="E383" s="255" t="str">
        <f t="shared" si="45"/>
        <v/>
      </c>
      <c r="F383" s="255" t="str">
        <f t="shared" si="49"/>
        <v/>
      </c>
      <c r="G383" s="255" t="str">
        <f t="shared" si="50"/>
        <v/>
      </c>
      <c r="H383" s="255" t="e">
        <f t="shared" si="46"/>
        <v>#N/A</v>
      </c>
      <c r="I383" s="257" t="e">
        <f t="shared" si="47"/>
        <v>#N/A</v>
      </c>
    </row>
    <row r="384" spans="1:9" ht="12.75" customHeight="1">
      <c r="A384" s="273"/>
      <c r="B384" s="255" t="e">
        <f t="shared" si="48"/>
        <v>#N/A</v>
      </c>
      <c r="C384" s="255" t="str">
        <f t="shared" si="43"/>
        <v/>
      </c>
      <c r="D384" s="255" t="str">
        <f t="shared" si="44"/>
        <v/>
      </c>
      <c r="E384" s="255" t="str">
        <f t="shared" si="45"/>
        <v/>
      </c>
      <c r="F384" s="255" t="str">
        <f t="shared" si="49"/>
        <v/>
      </c>
      <c r="G384" s="255" t="str">
        <f t="shared" si="50"/>
        <v/>
      </c>
      <c r="H384" s="255" t="e">
        <f t="shared" si="46"/>
        <v>#N/A</v>
      </c>
      <c r="I384" s="257" t="e">
        <f t="shared" si="47"/>
        <v>#N/A</v>
      </c>
    </row>
    <row r="385" spans="1:9" ht="12.75" customHeight="1">
      <c r="A385" s="273"/>
      <c r="B385" s="255" t="e">
        <f t="shared" si="48"/>
        <v>#N/A</v>
      </c>
      <c r="C385" s="255" t="str">
        <f t="shared" si="43"/>
        <v/>
      </c>
      <c r="D385" s="255" t="str">
        <f t="shared" si="44"/>
        <v/>
      </c>
      <c r="E385" s="255" t="str">
        <f t="shared" si="45"/>
        <v/>
      </c>
      <c r="F385" s="255" t="str">
        <f t="shared" si="49"/>
        <v/>
      </c>
      <c r="G385" s="255" t="str">
        <f t="shared" si="50"/>
        <v/>
      </c>
      <c r="H385" s="255" t="e">
        <f t="shared" si="46"/>
        <v>#N/A</v>
      </c>
      <c r="I385" s="257" t="e">
        <f t="shared" si="47"/>
        <v>#N/A</v>
      </c>
    </row>
    <row r="386" spans="1:9" ht="12.75" customHeight="1">
      <c r="A386" s="273"/>
      <c r="B386" s="255" t="e">
        <f t="shared" si="48"/>
        <v>#N/A</v>
      </c>
      <c r="C386" s="255" t="str">
        <f t="shared" si="43"/>
        <v/>
      </c>
      <c r="D386" s="255" t="str">
        <f t="shared" si="44"/>
        <v/>
      </c>
      <c r="E386" s="255" t="str">
        <f t="shared" si="45"/>
        <v/>
      </c>
      <c r="F386" s="255" t="str">
        <f t="shared" si="49"/>
        <v/>
      </c>
      <c r="G386" s="255" t="str">
        <f t="shared" si="50"/>
        <v/>
      </c>
      <c r="H386" s="255" t="e">
        <f t="shared" si="46"/>
        <v>#N/A</v>
      </c>
      <c r="I386" s="257" t="e">
        <f t="shared" si="47"/>
        <v>#N/A</v>
      </c>
    </row>
    <row r="387" spans="1:9" ht="12.75" customHeight="1">
      <c r="A387" s="273"/>
      <c r="B387" s="255" t="e">
        <f t="shared" si="48"/>
        <v>#N/A</v>
      </c>
      <c r="C387" s="255" t="str">
        <f t="shared" si="43"/>
        <v/>
      </c>
      <c r="D387" s="255" t="str">
        <f t="shared" si="44"/>
        <v/>
      </c>
      <c r="E387" s="255" t="str">
        <f t="shared" si="45"/>
        <v/>
      </c>
      <c r="F387" s="255" t="str">
        <f t="shared" si="49"/>
        <v/>
      </c>
      <c r="G387" s="255" t="str">
        <f t="shared" si="50"/>
        <v/>
      </c>
      <c r="H387" s="255" t="e">
        <f t="shared" si="46"/>
        <v>#N/A</v>
      </c>
      <c r="I387" s="257" t="e">
        <f t="shared" si="47"/>
        <v>#N/A</v>
      </c>
    </row>
    <row r="388" spans="1:9" ht="12.75" customHeight="1">
      <c r="A388" s="273"/>
      <c r="B388" s="255" t="e">
        <f t="shared" si="48"/>
        <v>#N/A</v>
      </c>
      <c r="C388" s="255" t="str">
        <f t="shared" si="43"/>
        <v/>
      </c>
      <c r="D388" s="255" t="str">
        <f t="shared" si="44"/>
        <v/>
      </c>
      <c r="E388" s="255" t="str">
        <f t="shared" si="45"/>
        <v/>
      </c>
      <c r="F388" s="255" t="str">
        <f t="shared" si="49"/>
        <v/>
      </c>
      <c r="G388" s="255" t="str">
        <f t="shared" si="50"/>
        <v/>
      </c>
      <c r="H388" s="255" t="e">
        <f t="shared" si="46"/>
        <v>#N/A</v>
      </c>
      <c r="I388" s="257" t="e">
        <f t="shared" si="47"/>
        <v>#N/A</v>
      </c>
    </row>
    <row r="389" spans="1:9" ht="12.75" customHeight="1">
      <c r="A389" s="273"/>
      <c r="B389" s="255" t="e">
        <f t="shared" si="48"/>
        <v>#N/A</v>
      </c>
      <c r="C389" s="255" t="str">
        <f t="shared" ref="C389:C452" si="51">IF(ISBLANK(A389),"",C388+1)</f>
        <v/>
      </c>
      <c r="D389" s="255" t="str">
        <f t="shared" ref="D389:D452" si="52">IF(ISBLANK(A389),"",NORMSDIST((B389-$B$24)/$B$25))</f>
        <v/>
      </c>
      <c r="E389" s="255" t="str">
        <f t="shared" ref="E389:E452" si="53">IF(ISBLANK(A389),"",1-D389)</f>
        <v/>
      </c>
      <c r="F389" s="255" t="str">
        <f t="shared" si="49"/>
        <v/>
      </c>
      <c r="G389" s="255" t="str">
        <f t="shared" si="50"/>
        <v/>
      </c>
      <c r="H389" s="255" t="e">
        <f t="shared" ref="H389:H452" si="54">IF(A389="",NA(),NORMINV((C389-3/8)/($B$23+1/4),$B$24,$B$25))</f>
        <v>#N/A</v>
      </c>
      <c r="I389" s="257" t="e">
        <f t="shared" ref="I389:I452" si="55">IF(B389="",NA(),(C389-3/8)/($B$23+1/4))</f>
        <v>#N/A</v>
      </c>
    </row>
    <row r="390" spans="1:9" ht="12.75" customHeight="1">
      <c r="A390" s="273"/>
      <c r="B390" s="255" t="e">
        <f t="shared" si="48"/>
        <v>#N/A</v>
      </c>
      <c r="C390" s="255" t="str">
        <f t="shared" si="51"/>
        <v/>
      </c>
      <c r="D390" s="255" t="str">
        <f t="shared" si="52"/>
        <v/>
      </c>
      <c r="E390" s="255" t="str">
        <f t="shared" si="53"/>
        <v/>
      </c>
      <c r="F390" s="255" t="str">
        <f t="shared" si="49"/>
        <v/>
      </c>
      <c r="G390" s="255" t="str">
        <f t="shared" si="50"/>
        <v/>
      </c>
      <c r="H390" s="255" t="e">
        <f t="shared" si="54"/>
        <v>#N/A</v>
      </c>
      <c r="I390" s="257" t="e">
        <f t="shared" si="55"/>
        <v>#N/A</v>
      </c>
    </row>
    <row r="391" spans="1:9" ht="12.75" customHeight="1">
      <c r="A391" s="273"/>
      <c r="B391" s="255" t="e">
        <f t="shared" si="48"/>
        <v>#N/A</v>
      </c>
      <c r="C391" s="255" t="str">
        <f t="shared" si="51"/>
        <v/>
      </c>
      <c r="D391" s="255" t="str">
        <f t="shared" si="52"/>
        <v/>
      </c>
      <c r="E391" s="255" t="str">
        <f t="shared" si="53"/>
        <v/>
      </c>
      <c r="F391" s="255" t="str">
        <f t="shared" si="49"/>
        <v/>
      </c>
      <c r="G391" s="255" t="str">
        <f t="shared" si="50"/>
        <v/>
      </c>
      <c r="H391" s="255" t="e">
        <f t="shared" si="54"/>
        <v>#N/A</v>
      </c>
      <c r="I391" s="257" t="e">
        <f t="shared" si="55"/>
        <v>#N/A</v>
      </c>
    </row>
    <row r="392" spans="1:9" ht="12.75" customHeight="1">
      <c r="A392" s="273"/>
      <c r="B392" s="255" t="e">
        <f t="shared" si="48"/>
        <v>#N/A</v>
      </c>
      <c r="C392" s="255" t="str">
        <f t="shared" si="51"/>
        <v/>
      </c>
      <c r="D392" s="255" t="str">
        <f t="shared" si="52"/>
        <v/>
      </c>
      <c r="E392" s="255" t="str">
        <f t="shared" si="53"/>
        <v/>
      </c>
      <c r="F392" s="255" t="str">
        <f t="shared" si="49"/>
        <v/>
      </c>
      <c r="G392" s="255" t="str">
        <f t="shared" si="50"/>
        <v/>
      </c>
      <c r="H392" s="255" t="e">
        <f t="shared" si="54"/>
        <v>#N/A</v>
      </c>
      <c r="I392" s="257" t="e">
        <f t="shared" si="55"/>
        <v>#N/A</v>
      </c>
    </row>
    <row r="393" spans="1:9" ht="12.75" customHeight="1">
      <c r="A393" s="273"/>
      <c r="B393" s="255" t="e">
        <f t="shared" si="48"/>
        <v>#N/A</v>
      </c>
      <c r="C393" s="255" t="str">
        <f t="shared" si="51"/>
        <v/>
      </c>
      <c r="D393" s="255" t="str">
        <f t="shared" si="52"/>
        <v/>
      </c>
      <c r="E393" s="255" t="str">
        <f t="shared" si="53"/>
        <v/>
      </c>
      <c r="F393" s="255" t="str">
        <f t="shared" si="49"/>
        <v/>
      </c>
      <c r="G393" s="255" t="str">
        <f t="shared" si="50"/>
        <v/>
      </c>
      <c r="H393" s="255" t="e">
        <f t="shared" si="54"/>
        <v>#N/A</v>
      </c>
      <c r="I393" s="257" t="e">
        <f t="shared" si="55"/>
        <v>#N/A</v>
      </c>
    </row>
    <row r="394" spans="1:9" ht="12.75" customHeight="1">
      <c r="A394" s="273"/>
      <c r="B394" s="255" t="e">
        <f t="shared" si="48"/>
        <v>#N/A</v>
      </c>
      <c r="C394" s="255" t="str">
        <f t="shared" si="51"/>
        <v/>
      </c>
      <c r="D394" s="255" t="str">
        <f t="shared" si="52"/>
        <v/>
      </c>
      <c r="E394" s="255" t="str">
        <f t="shared" si="53"/>
        <v/>
      </c>
      <c r="F394" s="255" t="str">
        <f t="shared" si="49"/>
        <v/>
      </c>
      <c r="G394" s="255" t="str">
        <f t="shared" si="50"/>
        <v/>
      </c>
      <c r="H394" s="255" t="e">
        <f t="shared" si="54"/>
        <v>#N/A</v>
      </c>
      <c r="I394" s="257" t="e">
        <f t="shared" si="55"/>
        <v>#N/A</v>
      </c>
    </row>
    <row r="395" spans="1:9" ht="12.75" customHeight="1">
      <c r="A395" s="273"/>
      <c r="B395" s="255" t="e">
        <f t="shared" si="48"/>
        <v>#N/A</v>
      </c>
      <c r="C395" s="255" t="str">
        <f t="shared" si="51"/>
        <v/>
      </c>
      <c r="D395" s="255" t="str">
        <f t="shared" si="52"/>
        <v/>
      </c>
      <c r="E395" s="255" t="str">
        <f t="shared" si="53"/>
        <v/>
      </c>
      <c r="F395" s="255" t="str">
        <f t="shared" si="49"/>
        <v/>
      </c>
      <c r="G395" s="255" t="str">
        <f t="shared" si="50"/>
        <v/>
      </c>
      <c r="H395" s="255" t="e">
        <f t="shared" si="54"/>
        <v>#N/A</v>
      </c>
      <c r="I395" s="257" t="e">
        <f t="shared" si="55"/>
        <v>#N/A</v>
      </c>
    </row>
    <row r="396" spans="1:9" ht="12.75" customHeight="1">
      <c r="A396" s="273"/>
      <c r="B396" s="255" t="e">
        <f t="shared" si="48"/>
        <v>#N/A</v>
      </c>
      <c r="C396" s="255" t="str">
        <f t="shared" si="51"/>
        <v/>
      </c>
      <c r="D396" s="255" t="str">
        <f t="shared" si="52"/>
        <v/>
      </c>
      <c r="E396" s="255" t="str">
        <f t="shared" si="53"/>
        <v/>
      </c>
      <c r="F396" s="255" t="str">
        <f t="shared" si="49"/>
        <v/>
      </c>
      <c r="G396" s="255" t="str">
        <f t="shared" si="50"/>
        <v/>
      </c>
      <c r="H396" s="255" t="e">
        <f t="shared" si="54"/>
        <v>#N/A</v>
      </c>
      <c r="I396" s="257" t="e">
        <f t="shared" si="55"/>
        <v>#N/A</v>
      </c>
    </row>
    <row r="397" spans="1:9" ht="12.75" customHeight="1">
      <c r="A397" s="273"/>
      <c r="B397" s="255" t="e">
        <f t="shared" si="48"/>
        <v>#N/A</v>
      </c>
      <c r="C397" s="255" t="str">
        <f t="shared" si="51"/>
        <v/>
      </c>
      <c r="D397" s="255" t="str">
        <f t="shared" si="52"/>
        <v/>
      </c>
      <c r="E397" s="255" t="str">
        <f t="shared" si="53"/>
        <v/>
      </c>
      <c r="F397" s="255" t="str">
        <f t="shared" si="49"/>
        <v/>
      </c>
      <c r="G397" s="255" t="str">
        <f t="shared" si="50"/>
        <v/>
      </c>
      <c r="H397" s="255" t="e">
        <f t="shared" si="54"/>
        <v>#N/A</v>
      </c>
      <c r="I397" s="257" t="e">
        <f t="shared" si="55"/>
        <v>#N/A</v>
      </c>
    </row>
    <row r="398" spans="1:9" ht="12.75" customHeight="1">
      <c r="A398" s="273"/>
      <c r="B398" s="255" t="e">
        <f t="shared" si="48"/>
        <v>#N/A</v>
      </c>
      <c r="C398" s="255" t="str">
        <f t="shared" si="51"/>
        <v/>
      </c>
      <c r="D398" s="255" t="str">
        <f t="shared" si="52"/>
        <v/>
      </c>
      <c r="E398" s="255" t="str">
        <f t="shared" si="53"/>
        <v/>
      </c>
      <c r="F398" s="255" t="str">
        <f t="shared" si="49"/>
        <v/>
      </c>
      <c r="G398" s="255" t="str">
        <f t="shared" si="50"/>
        <v/>
      </c>
      <c r="H398" s="255" t="e">
        <f t="shared" si="54"/>
        <v>#N/A</v>
      </c>
      <c r="I398" s="257" t="e">
        <f t="shared" si="55"/>
        <v>#N/A</v>
      </c>
    </row>
    <row r="399" spans="1:9" ht="12.75" customHeight="1">
      <c r="A399" s="273"/>
      <c r="B399" s="255" t="e">
        <f t="shared" si="48"/>
        <v>#N/A</v>
      </c>
      <c r="C399" s="255" t="str">
        <f t="shared" si="51"/>
        <v/>
      </c>
      <c r="D399" s="255" t="str">
        <f t="shared" si="52"/>
        <v/>
      </c>
      <c r="E399" s="255" t="str">
        <f t="shared" si="53"/>
        <v/>
      </c>
      <c r="F399" s="255" t="str">
        <f t="shared" si="49"/>
        <v/>
      </c>
      <c r="G399" s="255" t="str">
        <f t="shared" si="50"/>
        <v/>
      </c>
      <c r="H399" s="255" t="e">
        <f t="shared" si="54"/>
        <v>#N/A</v>
      </c>
      <c r="I399" s="257" t="e">
        <f t="shared" si="55"/>
        <v>#N/A</v>
      </c>
    </row>
    <row r="400" spans="1:9" ht="12.75" customHeight="1">
      <c r="A400" s="273"/>
      <c r="B400" s="255" t="e">
        <f t="shared" si="48"/>
        <v>#N/A</v>
      </c>
      <c r="C400" s="255" t="str">
        <f t="shared" si="51"/>
        <v/>
      </c>
      <c r="D400" s="255" t="str">
        <f t="shared" si="52"/>
        <v/>
      </c>
      <c r="E400" s="255" t="str">
        <f t="shared" si="53"/>
        <v/>
      </c>
      <c r="F400" s="255" t="str">
        <f t="shared" si="49"/>
        <v/>
      </c>
      <c r="G400" s="255" t="str">
        <f t="shared" si="50"/>
        <v/>
      </c>
      <c r="H400" s="255" t="e">
        <f t="shared" si="54"/>
        <v>#N/A</v>
      </c>
      <c r="I400" s="257" t="e">
        <f t="shared" si="55"/>
        <v>#N/A</v>
      </c>
    </row>
    <row r="401" spans="1:9" ht="12.75" customHeight="1">
      <c r="A401" s="273"/>
      <c r="B401" s="255" t="e">
        <f t="shared" si="48"/>
        <v>#N/A</v>
      </c>
      <c r="C401" s="255" t="str">
        <f t="shared" si="51"/>
        <v/>
      </c>
      <c r="D401" s="255" t="str">
        <f t="shared" si="52"/>
        <v/>
      </c>
      <c r="E401" s="255" t="str">
        <f t="shared" si="53"/>
        <v/>
      </c>
      <c r="F401" s="255" t="str">
        <f t="shared" si="49"/>
        <v/>
      </c>
      <c r="G401" s="255" t="str">
        <f t="shared" si="50"/>
        <v/>
      </c>
      <c r="H401" s="255" t="e">
        <f t="shared" si="54"/>
        <v>#N/A</v>
      </c>
      <c r="I401" s="257" t="e">
        <f t="shared" si="55"/>
        <v>#N/A</v>
      </c>
    </row>
    <row r="402" spans="1:9" ht="12.75" customHeight="1">
      <c r="A402" s="273"/>
      <c r="B402" s="255" t="e">
        <f t="shared" si="48"/>
        <v>#N/A</v>
      </c>
      <c r="C402" s="255" t="str">
        <f t="shared" si="51"/>
        <v/>
      </c>
      <c r="D402" s="255" t="str">
        <f t="shared" si="52"/>
        <v/>
      </c>
      <c r="E402" s="255" t="str">
        <f t="shared" si="53"/>
        <v/>
      </c>
      <c r="F402" s="255" t="str">
        <f t="shared" si="49"/>
        <v/>
      </c>
      <c r="G402" s="255" t="str">
        <f t="shared" si="50"/>
        <v/>
      </c>
      <c r="H402" s="255" t="e">
        <f t="shared" si="54"/>
        <v>#N/A</v>
      </c>
      <c r="I402" s="257" t="e">
        <f t="shared" si="55"/>
        <v>#N/A</v>
      </c>
    </row>
    <row r="403" spans="1:9" ht="12.75" customHeight="1">
      <c r="A403" s="273"/>
      <c r="B403" s="255" t="e">
        <f t="shared" si="48"/>
        <v>#N/A</v>
      </c>
      <c r="C403" s="255" t="str">
        <f t="shared" si="51"/>
        <v/>
      </c>
      <c r="D403" s="255" t="str">
        <f t="shared" si="52"/>
        <v/>
      </c>
      <c r="E403" s="255" t="str">
        <f t="shared" si="53"/>
        <v/>
      </c>
      <c r="F403" s="255" t="str">
        <f t="shared" si="49"/>
        <v/>
      </c>
      <c r="G403" s="255" t="str">
        <f t="shared" si="50"/>
        <v/>
      </c>
      <c r="H403" s="255" t="e">
        <f t="shared" si="54"/>
        <v>#N/A</v>
      </c>
      <c r="I403" s="257" t="e">
        <f t="shared" si="55"/>
        <v>#N/A</v>
      </c>
    </row>
    <row r="404" spans="1:9" ht="12.75" customHeight="1">
      <c r="A404" s="273"/>
      <c r="B404" s="255" t="e">
        <f t="shared" si="48"/>
        <v>#N/A</v>
      </c>
      <c r="C404" s="255" t="str">
        <f t="shared" si="51"/>
        <v/>
      </c>
      <c r="D404" s="255" t="str">
        <f t="shared" si="52"/>
        <v/>
      </c>
      <c r="E404" s="255" t="str">
        <f t="shared" si="53"/>
        <v/>
      </c>
      <c r="F404" s="255" t="str">
        <f t="shared" si="49"/>
        <v/>
      </c>
      <c r="G404" s="255" t="str">
        <f t="shared" si="50"/>
        <v/>
      </c>
      <c r="H404" s="255" t="e">
        <f t="shared" si="54"/>
        <v>#N/A</v>
      </c>
      <c r="I404" s="257" t="e">
        <f t="shared" si="55"/>
        <v>#N/A</v>
      </c>
    </row>
    <row r="405" spans="1:9" ht="12.75" customHeight="1">
      <c r="A405" s="273"/>
      <c r="B405" s="255" t="e">
        <f t="shared" si="48"/>
        <v>#N/A</v>
      </c>
      <c r="C405" s="255" t="str">
        <f t="shared" si="51"/>
        <v/>
      </c>
      <c r="D405" s="255" t="str">
        <f t="shared" si="52"/>
        <v/>
      </c>
      <c r="E405" s="255" t="str">
        <f t="shared" si="53"/>
        <v/>
      </c>
      <c r="F405" s="255" t="str">
        <f t="shared" si="49"/>
        <v/>
      </c>
      <c r="G405" s="255" t="str">
        <f t="shared" si="50"/>
        <v/>
      </c>
      <c r="H405" s="255" t="e">
        <f t="shared" si="54"/>
        <v>#N/A</v>
      </c>
      <c r="I405" s="257" t="e">
        <f t="shared" si="55"/>
        <v>#N/A</v>
      </c>
    </row>
    <row r="406" spans="1:9" ht="12.75" customHeight="1">
      <c r="A406" s="273"/>
      <c r="B406" s="255" t="e">
        <f t="shared" si="48"/>
        <v>#N/A</v>
      </c>
      <c r="C406" s="255" t="str">
        <f t="shared" si="51"/>
        <v/>
      </c>
      <c r="D406" s="255" t="str">
        <f t="shared" si="52"/>
        <v/>
      </c>
      <c r="E406" s="255" t="str">
        <f t="shared" si="53"/>
        <v/>
      </c>
      <c r="F406" s="255" t="str">
        <f t="shared" si="49"/>
        <v/>
      </c>
      <c r="G406" s="255" t="str">
        <f t="shared" si="50"/>
        <v/>
      </c>
      <c r="H406" s="255" t="e">
        <f t="shared" si="54"/>
        <v>#N/A</v>
      </c>
      <c r="I406" s="257" t="e">
        <f t="shared" si="55"/>
        <v>#N/A</v>
      </c>
    </row>
    <row r="407" spans="1:9" ht="12.75" customHeight="1">
      <c r="A407" s="273"/>
      <c r="B407" s="255" t="e">
        <f t="shared" si="48"/>
        <v>#N/A</v>
      </c>
      <c r="C407" s="255" t="str">
        <f t="shared" si="51"/>
        <v/>
      </c>
      <c r="D407" s="255" t="str">
        <f t="shared" si="52"/>
        <v/>
      </c>
      <c r="E407" s="255" t="str">
        <f t="shared" si="53"/>
        <v/>
      </c>
      <c r="F407" s="255" t="str">
        <f t="shared" si="49"/>
        <v/>
      </c>
      <c r="G407" s="255" t="str">
        <f t="shared" si="50"/>
        <v/>
      </c>
      <c r="H407" s="255" t="e">
        <f t="shared" si="54"/>
        <v>#N/A</v>
      </c>
      <c r="I407" s="257" t="e">
        <f t="shared" si="55"/>
        <v>#N/A</v>
      </c>
    </row>
    <row r="408" spans="1:9" ht="12.75" customHeight="1">
      <c r="A408" s="273"/>
      <c r="B408" s="255" t="e">
        <f t="shared" si="48"/>
        <v>#N/A</v>
      </c>
      <c r="C408" s="255" t="str">
        <f t="shared" si="51"/>
        <v/>
      </c>
      <c r="D408" s="255" t="str">
        <f t="shared" si="52"/>
        <v/>
      </c>
      <c r="E408" s="255" t="str">
        <f t="shared" si="53"/>
        <v/>
      </c>
      <c r="F408" s="255" t="str">
        <f t="shared" si="49"/>
        <v/>
      </c>
      <c r="G408" s="255" t="str">
        <f t="shared" si="50"/>
        <v/>
      </c>
      <c r="H408" s="255" t="e">
        <f t="shared" si="54"/>
        <v>#N/A</v>
      </c>
      <c r="I408" s="257" t="e">
        <f t="shared" si="55"/>
        <v>#N/A</v>
      </c>
    </row>
    <row r="409" spans="1:9" ht="12.75" customHeight="1">
      <c r="A409" s="273"/>
      <c r="B409" s="255" t="e">
        <f t="shared" si="48"/>
        <v>#N/A</v>
      </c>
      <c r="C409" s="255" t="str">
        <f t="shared" si="51"/>
        <v/>
      </c>
      <c r="D409" s="255" t="str">
        <f t="shared" si="52"/>
        <v/>
      </c>
      <c r="E409" s="255" t="str">
        <f t="shared" si="53"/>
        <v/>
      </c>
      <c r="F409" s="255" t="str">
        <f t="shared" si="49"/>
        <v/>
      </c>
      <c r="G409" s="255" t="str">
        <f t="shared" si="50"/>
        <v/>
      </c>
      <c r="H409" s="255" t="e">
        <f t="shared" si="54"/>
        <v>#N/A</v>
      </c>
      <c r="I409" s="257" t="e">
        <f t="shared" si="55"/>
        <v>#N/A</v>
      </c>
    </row>
    <row r="410" spans="1:9" ht="12.75" customHeight="1">
      <c r="A410" s="273"/>
      <c r="B410" s="255" t="e">
        <f t="shared" si="48"/>
        <v>#N/A</v>
      </c>
      <c r="C410" s="255" t="str">
        <f t="shared" si="51"/>
        <v/>
      </c>
      <c r="D410" s="255" t="str">
        <f t="shared" si="52"/>
        <v/>
      </c>
      <c r="E410" s="255" t="str">
        <f t="shared" si="53"/>
        <v/>
      </c>
      <c r="F410" s="255" t="str">
        <f t="shared" si="49"/>
        <v/>
      </c>
      <c r="G410" s="255" t="str">
        <f t="shared" si="50"/>
        <v/>
      </c>
      <c r="H410" s="255" t="e">
        <f t="shared" si="54"/>
        <v>#N/A</v>
      </c>
      <c r="I410" s="257" t="e">
        <f t="shared" si="55"/>
        <v>#N/A</v>
      </c>
    </row>
    <row r="411" spans="1:9" ht="12.75" customHeight="1">
      <c r="A411" s="273"/>
      <c r="B411" s="255" t="e">
        <f t="shared" si="48"/>
        <v>#N/A</v>
      </c>
      <c r="C411" s="255" t="str">
        <f t="shared" si="51"/>
        <v/>
      </c>
      <c r="D411" s="255" t="str">
        <f t="shared" si="52"/>
        <v/>
      </c>
      <c r="E411" s="255" t="str">
        <f t="shared" si="53"/>
        <v/>
      </c>
      <c r="F411" s="255" t="str">
        <f t="shared" si="49"/>
        <v/>
      </c>
      <c r="G411" s="255" t="str">
        <f t="shared" si="50"/>
        <v/>
      </c>
      <c r="H411" s="255" t="e">
        <f t="shared" si="54"/>
        <v>#N/A</v>
      </c>
      <c r="I411" s="257" t="e">
        <f t="shared" si="55"/>
        <v>#N/A</v>
      </c>
    </row>
    <row r="412" spans="1:9" ht="12.75" customHeight="1">
      <c r="A412" s="273"/>
      <c r="B412" s="255" t="e">
        <f t="shared" si="48"/>
        <v>#N/A</v>
      </c>
      <c r="C412" s="255" t="str">
        <f t="shared" si="51"/>
        <v/>
      </c>
      <c r="D412" s="255" t="str">
        <f t="shared" si="52"/>
        <v/>
      </c>
      <c r="E412" s="255" t="str">
        <f t="shared" si="53"/>
        <v/>
      </c>
      <c r="F412" s="255" t="str">
        <f t="shared" si="49"/>
        <v/>
      </c>
      <c r="G412" s="255" t="str">
        <f t="shared" si="50"/>
        <v/>
      </c>
      <c r="H412" s="255" t="e">
        <f t="shared" si="54"/>
        <v>#N/A</v>
      </c>
      <c r="I412" s="257" t="e">
        <f t="shared" si="55"/>
        <v>#N/A</v>
      </c>
    </row>
    <row r="413" spans="1:9" ht="12.75" customHeight="1">
      <c r="A413" s="273"/>
      <c r="B413" s="255" t="e">
        <f t="shared" si="48"/>
        <v>#N/A</v>
      </c>
      <c r="C413" s="255" t="str">
        <f t="shared" si="51"/>
        <v/>
      </c>
      <c r="D413" s="255" t="str">
        <f t="shared" si="52"/>
        <v/>
      </c>
      <c r="E413" s="255" t="str">
        <f t="shared" si="53"/>
        <v/>
      </c>
      <c r="F413" s="255" t="str">
        <f t="shared" si="49"/>
        <v/>
      </c>
      <c r="G413" s="255" t="str">
        <f t="shared" si="50"/>
        <v/>
      </c>
      <c r="H413" s="255" t="e">
        <f t="shared" si="54"/>
        <v>#N/A</v>
      </c>
      <c r="I413" s="257" t="e">
        <f t="shared" si="55"/>
        <v>#N/A</v>
      </c>
    </row>
    <row r="414" spans="1:9" ht="12.75" customHeight="1">
      <c r="A414" s="273"/>
      <c r="B414" s="255" t="e">
        <f t="shared" si="48"/>
        <v>#N/A</v>
      </c>
      <c r="C414" s="255" t="str">
        <f t="shared" si="51"/>
        <v/>
      </c>
      <c r="D414" s="255" t="str">
        <f t="shared" si="52"/>
        <v/>
      </c>
      <c r="E414" s="255" t="str">
        <f t="shared" si="53"/>
        <v/>
      </c>
      <c r="F414" s="255" t="str">
        <f t="shared" si="49"/>
        <v/>
      </c>
      <c r="G414" s="255" t="str">
        <f t="shared" si="50"/>
        <v/>
      </c>
      <c r="H414" s="255" t="e">
        <f t="shared" si="54"/>
        <v>#N/A</v>
      </c>
      <c r="I414" s="257" t="e">
        <f t="shared" si="55"/>
        <v>#N/A</v>
      </c>
    </row>
    <row r="415" spans="1:9" ht="12.75" customHeight="1">
      <c r="A415" s="273"/>
      <c r="B415" s="255" t="e">
        <f t="shared" si="48"/>
        <v>#N/A</v>
      </c>
      <c r="C415" s="255" t="str">
        <f t="shared" si="51"/>
        <v/>
      </c>
      <c r="D415" s="255" t="str">
        <f t="shared" si="52"/>
        <v/>
      </c>
      <c r="E415" s="255" t="str">
        <f t="shared" si="53"/>
        <v/>
      </c>
      <c r="F415" s="255" t="str">
        <f t="shared" si="49"/>
        <v/>
      </c>
      <c r="G415" s="255" t="str">
        <f t="shared" si="50"/>
        <v/>
      </c>
      <c r="H415" s="255" t="e">
        <f t="shared" si="54"/>
        <v>#N/A</v>
      </c>
      <c r="I415" s="257" t="e">
        <f t="shared" si="55"/>
        <v>#N/A</v>
      </c>
    </row>
    <row r="416" spans="1:9" ht="12.75" customHeight="1">
      <c r="A416" s="273"/>
      <c r="B416" s="255" t="e">
        <f t="shared" si="48"/>
        <v>#N/A</v>
      </c>
      <c r="C416" s="255" t="str">
        <f t="shared" si="51"/>
        <v/>
      </c>
      <c r="D416" s="255" t="str">
        <f t="shared" si="52"/>
        <v/>
      </c>
      <c r="E416" s="255" t="str">
        <f t="shared" si="53"/>
        <v/>
      </c>
      <c r="F416" s="255" t="str">
        <f t="shared" si="49"/>
        <v/>
      </c>
      <c r="G416" s="255" t="str">
        <f t="shared" si="50"/>
        <v/>
      </c>
      <c r="H416" s="255" t="e">
        <f t="shared" si="54"/>
        <v>#N/A</v>
      </c>
      <c r="I416" s="257" t="e">
        <f t="shared" si="55"/>
        <v>#N/A</v>
      </c>
    </row>
    <row r="417" spans="1:9" ht="12.75" customHeight="1">
      <c r="A417" s="273"/>
      <c r="B417" s="255" t="e">
        <f t="shared" si="48"/>
        <v>#N/A</v>
      </c>
      <c r="C417" s="255" t="str">
        <f t="shared" si="51"/>
        <v/>
      </c>
      <c r="D417" s="255" t="str">
        <f t="shared" si="52"/>
        <v/>
      </c>
      <c r="E417" s="255" t="str">
        <f t="shared" si="53"/>
        <v/>
      </c>
      <c r="F417" s="255" t="str">
        <f t="shared" si="49"/>
        <v/>
      </c>
      <c r="G417" s="255" t="str">
        <f t="shared" si="50"/>
        <v/>
      </c>
      <c r="H417" s="255" t="e">
        <f t="shared" si="54"/>
        <v>#N/A</v>
      </c>
      <c r="I417" s="257" t="e">
        <f t="shared" si="55"/>
        <v>#N/A</v>
      </c>
    </row>
    <row r="418" spans="1:9" ht="12.75" customHeight="1">
      <c r="A418" s="273"/>
      <c r="B418" s="255" t="e">
        <f t="shared" si="48"/>
        <v>#N/A</v>
      </c>
      <c r="C418" s="255" t="str">
        <f t="shared" si="51"/>
        <v/>
      </c>
      <c r="D418" s="255" t="str">
        <f t="shared" si="52"/>
        <v/>
      </c>
      <c r="E418" s="255" t="str">
        <f t="shared" si="53"/>
        <v/>
      </c>
      <c r="F418" s="255" t="str">
        <f t="shared" si="49"/>
        <v/>
      </c>
      <c r="G418" s="255" t="str">
        <f t="shared" si="50"/>
        <v/>
      </c>
      <c r="H418" s="255" t="e">
        <f t="shared" si="54"/>
        <v>#N/A</v>
      </c>
      <c r="I418" s="257" t="e">
        <f t="shared" si="55"/>
        <v>#N/A</v>
      </c>
    </row>
    <row r="419" spans="1:9" ht="12.75" customHeight="1">
      <c r="A419" s="273"/>
      <c r="B419" s="255" t="e">
        <f t="shared" ref="B419:B482" si="56">IF(ISBLANK(A419),NA(),SMALL(A$34:A$533,C419))</f>
        <v>#N/A</v>
      </c>
      <c r="C419" s="255" t="str">
        <f t="shared" si="51"/>
        <v/>
      </c>
      <c r="D419" s="255" t="str">
        <f t="shared" si="52"/>
        <v/>
      </c>
      <c r="E419" s="255" t="str">
        <f t="shared" si="53"/>
        <v/>
      </c>
      <c r="F419" s="255" t="str">
        <f t="shared" ref="F419:F482" si="57">IF(ISBLANK(A419),"",SMALL($E$34:$E$533,C419))</f>
        <v/>
      </c>
      <c r="G419" s="255" t="str">
        <f t="shared" ref="G419:G482" si="58">IF(ISBLANK(A419),"",(2*C419-1)*(LN(F419)+LN(D419)))</f>
        <v/>
      </c>
      <c r="H419" s="255" t="e">
        <f t="shared" si="54"/>
        <v>#N/A</v>
      </c>
      <c r="I419" s="257" t="e">
        <f t="shared" si="55"/>
        <v>#N/A</v>
      </c>
    </row>
    <row r="420" spans="1:9" ht="12.75" customHeight="1">
      <c r="A420" s="273"/>
      <c r="B420" s="255" t="e">
        <f t="shared" si="56"/>
        <v>#N/A</v>
      </c>
      <c r="C420" s="255" t="str">
        <f t="shared" si="51"/>
        <v/>
      </c>
      <c r="D420" s="255" t="str">
        <f t="shared" si="52"/>
        <v/>
      </c>
      <c r="E420" s="255" t="str">
        <f t="shared" si="53"/>
        <v/>
      </c>
      <c r="F420" s="255" t="str">
        <f t="shared" si="57"/>
        <v/>
      </c>
      <c r="G420" s="255" t="str">
        <f t="shared" si="58"/>
        <v/>
      </c>
      <c r="H420" s="255" t="e">
        <f t="shared" si="54"/>
        <v>#N/A</v>
      </c>
      <c r="I420" s="257" t="e">
        <f t="shared" si="55"/>
        <v>#N/A</v>
      </c>
    </row>
    <row r="421" spans="1:9" ht="12.75" customHeight="1">
      <c r="A421" s="273"/>
      <c r="B421" s="255" t="e">
        <f t="shared" si="56"/>
        <v>#N/A</v>
      </c>
      <c r="C421" s="255" t="str">
        <f t="shared" si="51"/>
        <v/>
      </c>
      <c r="D421" s="255" t="str">
        <f t="shared" si="52"/>
        <v/>
      </c>
      <c r="E421" s="255" t="str">
        <f t="shared" si="53"/>
        <v/>
      </c>
      <c r="F421" s="255" t="str">
        <f t="shared" si="57"/>
        <v/>
      </c>
      <c r="G421" s="255" t="str">
        <f t="shared" si="58"/>
        <v/>
      </c>
      <c r="H421" s="255" t="e">
        <f t="shared" si="54"/>
        <v>#N/A</v>
      </c>
      <c r="I421" s="257" t="e">
        <f t="shared" si="55"/>
        <v>#N/A</v>
      </c>
    </row>
    <row r="422" spans="1:9" ht="12.75" customHeight="1">
      <c r="A422" s="273"/>
      <c r="B422" s="255" t="e">
        <f t="shared" si="56"/>
        <v>#N/A</v>
      </c>
      <c r="C422" s="255" t="str">
        <f t="shared" si="51"/>
        <v/>
      </c>
      <c r="D422" s="255" t="str">
        <f t="shared" si="52"/>
        <v/>
      </c>
      <c r="E422" s="255" t="str">
        <f t="shared" si="53"/>
        <v/>
      </c>
      <c r="F422" s="255" t="str">
        <f t="shared" si="57"/>
        <v/>
      </c>
      <c r="G422" s="255" t="str">
        <f t="shared" si="58"/>
        <v/>
      </c>
      <c r="H422" s="255" t="e">
        <f t="shared" si="54"/>
        <v>#N/A</v>
      </c>
      <c r="I422" s="257" t="e">
        <f t="shared" si="55"/>
        <v>#N/A</v>
      </c>
    </row>
    <row r="423" spans="1:9" ht="12.75" customHeight="1">
      <c r="A423" s="273"/>
      <c r="B423" s="255" t="e">
        <f t="shared" si="56"/>
        <v>#N/A</v>
      </c>
      <c r="C423" s="255" t="str">
        <f t="shared" si="51"/>
        <v/>
      </c>
      <c r="D423" s="255" t="str">
        <f t="shared" si="52"/>
        <v/>
      </c>
      <c r="E423" s="255" t="str">
        <f t="shared" si="53"/>
        <v/>
      </c>
      <c r="F423" s="255" t="str">
        <f t="shared" si="57"/>
        <v/>
      </c>
      <c r="G423" s="255" t="str">
        <f t="shared" si="58"/>
        <v/>
      </c>
      <c r="H423" s="255" t="e">
        <f t="shared" si="54"/>
        <v>#N/A</v>
      </c>
      <c r="I423" s="257" t="e">
        <f t="shared" si="55"/>
        <v>#N/A</v>
      </c>
    </row>
    <row r="424" spans="1:9" ht="12.75" customHeight="1">
      <c r="A424" s="273"/>
      <c r="B424" s="255" t="e">
        <f t="shared" si="56"/>
        <v>#N/A</v>
      </c>
      <c r="C424" s="255" t="str">
        <f t="shared" si="51"/>
        <v/>
      </c>
      <c r="D424" s="255" t="str">
        <f t="shared" si="52"/>
        <v/>
      </c>
      <c r="E424" s="255" t="str">
        <f t="shared" si="53"/>
        <v/>
      </c>
      <c r="F424" s="255" t="str">
        <f t="shared" si="57"/>
        <v/>
      </c>
      <c r="G424" s="255" t="str">
        <f t="shared" si="58"/>
        <v/>
      </c>
      <c r="H424" s="255" t="e">
        <f t="shared" si="54"/>
        <v>#N/A</v>
      </c>
      <c r="I424" s="257" t="e">
        <f t="shared" si="55"/>
        <v>#N/A</v>
      </c>
    </row>
    <row r="425" spans="1:9" ht="12.75" customHeight="1">
      <c r="A425" s="273"/>
      <c r="B425" s="255" t="e">
        <f t="shared" si="56"/>
        <v>#N/A</v>
      </c>
      <c r="C425" s="255" t="str">
        <f t="shared" si="51"/>
        <v/>
      </c>
      <c r="D425" s="255" t="str">
        <f t="shared" si="52"/>
        <v/>
      </c>
      <c r="E425" s="255" t="str">
        <f t="shared" si="53"/>
        <v/>
      </c>
      <c r="F425" s="255" t="str">
        <f t="shared" si="57"/>
        <v/>
      </c>
      <c r="G425" s="255" t="str">
        <f t="shared" si="58"/>
        <v/>
      </c>
      <c r="H425" s="255" t="e">
        <f t="shared" si="54"/>
        <v>#N/A</v>
      </c>
      <c r="I425" s="257" t="e">
        <f t="shared" si="55"/>
        <v>#N/A</v>
      </c>
    </row>
    <row r="426" spans="1:9" ht="12.75" customHeight="1">
      <c r="A426" s="273"/>
      <c r="B426" s="255" t="e">
        <f t="shared" si="56"/>
        <v>#N/A</v>
      </c>
      <c r="C426" s="255" t="str">
        <f t="shared" si="51"/>
        <v/>
      </c>
      <c r="D426" s="255" t="str">
        <f t="shared" si="52"/>
        <v/>
      </c>
      <c r="E426" s="255" t="str">
        <f t="shared" si="53"/>
        <v/>
      </c>
      <c r="F426" s="255" t="str">
        <f t="shared" si="57"/>
        <v/>
      </c>
      <c r="G426" s="255" t="str">
        <f t="shared" si="58"/>
        <v/>
      </c>
      <c r="H426" s="255" t="e">
        <f t="shared" si="54"/>
        <v>#N/A</v>
      </c>
      <c r="I426" s="257" t="e">
        <f t="shared" si="55"/>
        <v>#N/A</v>
      </c>
    </row>
    <row r="427" spans="1:9" ht="12.75" customHeight="1">
      <c r="A427" s="273"/>
      <c r="B427" s="255" t="e">
        <f t="shared" si="56"/>
        <v>#N/A</v>
      </c>
      <c r="C427" s="255" t="str">
        <f t="shared" si="51"/>
        <v/>
      </c>
      <c r="D427" s="255" t="str">
        <f t="shared" si="52"/>
        <v/>
      </c>
      <c r="E427" s="255" t="str">
        <f t="shared" si="53"/>
        <v/>
      </c>
      <c r="F427" s="255" t="str">
        <f t="shared" si="57"/>
        <v/>
      </c>
      <c r="G427" s="255" t="str">
        <f t="shared" si="58"/>
        <v/>
      </c>
      <c r="H427" s="255" t="e">
        <f t="shared" si="54"/>
        <v>#N/A</v>
      </c>
      <c r="I427" s="257" t="e">
        <f t="shared" si="55"/>
        <v>#N/A</v>
      </c>
    </row>
    <row r="428" spans="1:9" ht="12.75" customHeight="1">
      <c r="A428" s="273"/>
      <c r="B428" s="255" t="e">
        <f t="shared" si="56"/>
        <v>#N/A</v>
      </c>
      <c r="C428" s="255" t="str">
        <f t="shared" si="51"/>
        <v/>
      </c>
      <c r="D428" s="255" t="str">
        <f t="shared" si="52"/>
        <v/>
      </c>
      <c r="E428" s="255" t="str">
        <f t="shared" si="53"/>
        <v/>
      </c>
      <c r="F428" s="255" t="str">
        <f t="shared" si="57"/>
        <v/>
      </c>
      <c r="G428" s="255" t="str">
        <f t="shared" si="58"/>
        <v/>
      </c>
      <c r="H428" s="255" t="e">
        <f t="shared" si="54"/>
        <v>#N/A</v>
      </c>
      <c r="I428" s="257" t="e">
        <f t="shared" si="55"/>
        <v>#N/A</v>
      </c>
    </row>
    <row r="429" spans="1:9" ht="12.75" customHeight="1">
      <c r="A429" s="273"/>
      <c r="B429" s="255" t="e">
        <f t="shared" si="56"/>
        <v>#N/A</v>
      </c>
      <c r="C429" s="255" t="str">
        <f t="shared" si="51"/>
        <v/>
      </c>
      <c r="D429" s="255" t="str">
        <f t="shared" si="52"/>
        <v/>
      </c>
      <c r="E429" s="255" t="str">
        <f t="shared" si="53"/>
        <v/>
      </c>
      <c r="F429" s="255" t="str">
        <f t="shared" si="57"/>
        <v/>
      </c>
      <c r="G429" s="255" t="str">
        <f t="shared" si="58"/>
        <v/>
      </c>
      <c r="H429" s="255" t="e">
        <f t="shared" si="54"/>
        <v>#N/A</v>
      </c>
      <c r="I429" s="257" t="e">
        <f t="shared" si="55"/>
        <v>#N/A</v>
      </c>
    </row>
    <row r="430" spans="1:9" ht="12.75" customHeight="1">
      <c r="A430" s="273"/>
      <c r="B430" s="255" t="e">
        <f t="shared" si="56"/>
        <v>#N/A</v>
      </c>
      <c r="C430" s="255" t="str">
        <f t="shared" si="51"/>
        <v/>
      </c>
      <c r="D430" s="255" t="str">
        <f t="shared" si="52"/>
        <v/>
      </c>
      <c r="E430" s="255" t="str">
        <f t="shared" si="53"/>
        <v/>
      </c>
      <c r="F430" s="255" t="str">
        <f t="shared" si="57"/>
        <v/>
      </c>
      <c r="G430" s="255" t="str">
        <f t="shared" si="58"/>
        <v/>
      </c>
      <c r="H430" s="255" t="e">
        <f t="shared" si="54"/>
        <v>#N/A</v>
      </c>
      <c r="I430" s="257" t="e">
        <f t="shared" si="55"/>
        <v>#N/A</v>
      </c>
    </row>
    <row r="431" spans="1:9" ht="12.75" customHeight="1">
      <c r="A431" s="273"/>
      <c r="B431" s="255" t="e">
        <f t="shared" si="56"/>
        <v>#N/A</v>
      </c>
      <c r="C431" s="255" t="str">
        <f t="shared" si="51"/>
        <v/>
      </c>
      <c r="D431" s="255" t="str">
        <f t="shared" si="52"/>
        <v/>
      </c>
      <c r="E431" s="255" t="str">
        <f t="shared" si="53"/>
        <v/>
      </c>
      <c r="F431" s="255" t="str">
        <f t="shared" si="57"/>
        <v/>
      </c>
      <c r="G431" s="255" t="str">
        <f t="shared" si="58"/>
        <v/>
      </c>
      <c r="H431" s="255" t="e">
        <f t="shared" si="54"/>
        <v>#N/A</v>
      </c>
      <c r="I431" s="257" t="e">
        <f t="shared" si="55"/>
        <v>#N/A</v>
      </c>
    </row>
    <row r="432" spans="1:9" ht="12.75" customHeight="1">
      <c r="A432" s="273"/>
      <c r="B432" s="255" t="e">
        <f t="shared" si="56"/>
        <v>#N/A</v>
      </c>
      <c r="C432" s="255" t="str">
        <f t="shared" si="51"/>
        <v/>
      </c>
      <c r="D432" s="255" t="str">
        <f t="shared" si="52"/>
        <v/>
      </c>
      <c r="E432" s="255" t="str">
        <f t="shared" si="53"/>
        <v/>
      </c>
      <c r="F432" s="255" t="str">
        <f t="shared" si="57"/>
        <v/>
      </c>
      <c r="G432" s="255" t="str">
        <f t="shared" si="58"/>
        <v/>
      </c>
      <c r="H432" s="255" t="e">
        <f t="shared" si="54"/>
        <v>#N/A</v>
      </c>
      <c r="I432" s="257" t="e">
        <f t="shared" si="55"/>
        <v>#N/A</v>
      </c>
    </row>
    <row r="433" spans="1:9" ht="12.75" customHeight="1">
      <c r="A433" s="273"/>
      <c r="B433" s="255" t="e">
        <f t="shared" si="56"/>
        <v>#N/A</v>
      </c>
      <c r="C433" s="255" t="str">
        <f t="shared" si="51"/>
        <v/>
      </c>
      <c r="D433" s="255" t="str">
        <f t="shared" si="52"/>
        <v/>
      </c>
      <c r="E433" s="255" t="str">
        <f t="shared" si="53"/>
        <v/>
      </c>
      <c r="F433" s="255" t="str">
        <f t="shared" si="57"/>
        <v/>
      </c>
      <c r="G433" s="255" t="str">
        <f t="shared" si="58"/>
        <v/>
      </c>
      <c r="H433" s="255" t="e">
        <f t="shared" si="54"/>
        <v>#N/A</v>
      </c>
      <c r="I433" s="257" t="e">
        <f t="shared" si="55"/>
        <v>#N/A</v>
      </c>
    </row>
    <row r="434" spans="1:9" ht="12.75" customHeight="1">
      <c r="A434" s="273"/>
      <c r="B434" s="255" t="e">
        <f t="shared" si="56"/>
        <v>#N/A</v>
      </c>
      <c r="C434" s="255" t="str">
        <f t="shared" si="51"/>
        <v/>
      </c>
      <c r="D434" s="255" t="str">
        <f t="shared" si="52"/>
        <v/>
      </c>
      <c r="E434" s="255" t="str">
        <f t="shared" si="53"/>
        <v/>
      </c>
      <c r="F434" s="255" t="str">
        <f t="shared" si="57"/>
        <v/>
      </c>
      <c r="G434" s="255" t="str">
        <f t="shared" si="58"/>
        <v/>
      </c>
      <c r="H434" s="255" t="e">
        <f t="shared" si="54"/>
        <v>#N/A</v>
      </c>
      <c r="I434" s="257" t="e">
        <f t="shared" si="55"/>
        <v>#N/A</v>
      </c>
    </row>
    <row r="435" spans="1:9" ht="12.75" customHeight="1">
      <c r="A435" s="273"/>
      <c r="B435" s="255" t="e">
        <f t="shared" si="56"/>
        <v>#N/A</v>
      </c>
      <c r="C435" s="255" t="str">
        <f t="shared" si="51"/>
        <v/>
      </c>
      <c r="D435" s="255" t="str">
        <f t="shared" si="52"/>
        <v/>
      </c>
      <c r="E435" s="255" t="str">
        <f t="shared" si="53"/>
        <v/>
      </c>
      <c r="F435" s="255" t="str">
        <f t="shared" si="57"/>
        <v/>
      </c>
      <c r="G435" s="255" t="str">
        <f t="shared" si="58"/>
        <v/>
      </c>
      <c r="H435" s="255" t="e">
        <f t="shared" si="54"/>
        <v>#N/A</v>
      </c>
      <c r="I435" s="257" t="e">
        <f t="shared" si="55"/>
        <v>#N/A</v>
      </c>
    </row>
    <row r="436" spans="1:9" ht="12.75" customHeight="1">
      <c r="A436" s="273"/>
      <c r="B436" s="255" t="e">
        <f t="shared" si="56"/>
        <v>#N/A</v>
      </c>
      <c r="C436" s="255" t="str">
        <f t="shared" si="51"/>
        <v/>
      </c>
      <c r="D436" s="255" t="str">
        <f t="shared" si="52"/>
        <v/>
      </c>
      <c r="E436" s="255" t="str">
        <f t="shared" si="53"/>
        <v/>
      </c>
      <c r="F436" s="255" t="str">
        <f t="shared" si="57"/>
        <v/>
      </c>
      <c r="G436" s="255" t="str">
        <f t="shared" si="58"/>
        <v/>
      </c>
      <c r="H436" s="255" t="e">
        <f t="shared" si="54"/>
        <v>#N/A</v>
      </c>
      <c r="I436" s="257" t="e">
        <f t="shared" si="55"/>
        <v>#N/A</v>
      </c>
    </row>
    <row r="437" spans="1:9" ht="12.75" customHeight="1">
      <c r="A437" s="273"/>
      <c r="B437" s="255" t="e">
        <f t="shared" si="56"/>
        <v>#N/A</v>
      </c>
      <c r="C437" s="255" t="str">
        <f t="shared" si="51"/>
        <v/>
      </c>
      <c r="D437" s="255" t="str">
        <f t="shared" si="52"/>
        <v/>
      </c>
      <c r="E437" s="255" t="str">
        <f t="shared" si="53"/>
        <v/>
      </c>
      <c r="F437" s="255" t="str">
        <f t="shared" si="57"/>
        <v/>
      </c>
      <c r="G437" s="255" t="str">
        <f t="shared" si="58"/>
        <v/>
      </c>
      <c r="H437" s="255" t="e">
        <f t="shared" si="54"/>
        <v>#N/A</v>
      </c>
      <c r="I437" s="257" t="e">
        <f t="shared" si="55"/>
        <v>#N/A</v>
      </c>
    </row>
    <row r="438" spans="1:9" ht="12.75" customHeight="1">
      <c r="A438" s="273"/>
      <c r="B438" s="255" t="e">
        <f t="shared" si="56"/>
        <v>#N/A</v>
      </c>
      <c r="C438" s="255" t="str">
        <f t="shared" si="51"/>
        <v/>
      </c>
      <c r="D438" s="255" t="str">
        <f t="shared" si="52"/>
        <v/>
      </c>
      <c r="E438" s="255" t="str">
        <f t="shared" si="53"/>
        <v/>
      </c>
      <c r="F438" s="255" t="str">
        <f t="shared" si="57"/>
        <v/>
      </c>
      <c r="G438" s="255" t="str">
        <f t="shared" si="58"/>
        <v/>
      </c>
      <c r="H438" s="255" t="e">
        <f t="shared" si="54"/>
        <v>#N/A</v>
      </c>
      <c r="I438" s="257" t="e">
        <f t="shared" si="55"/>
        <v>#N/A</v>
      </c>
    </row>
    <row r="439" spans="1:9" ht="12.75" customHeight="1">
      <c r="A439" s="273"/>
      <c r="B439" s="255" t="e">
        <f t="shared" si="56"/>
        <v>#N/A</v>
      </c>
      <c r="C439" s="255" t="str">
        <f t="shared" si="51"/>
        <v/>
      </c>
      <c r="D439" s="255" t="str">
        <f t="shared" si="52"/>
        <v/>
      </c>
      <c r="E439" s="255" t="str">
        <f t="shared" si="53"/>
        <v/>
      </c>
      <c r="F439" s="255" t="str">
        <f t="shared" si="57"/>
        <v/>
      </c>
      <c r="G439" s="255" t="str">
        <f t="shared" si="58"/>
        <v/>
      </c>
      <c r="H439" s="255" t="e">
        <f t="shared" si="54"/>
        <v>#N/A</v>
      </c>
      <c r="I439" s="257" t="e">
        <f t="shared" si="55"/>
        <v>#N/A</v>
      </c>
    </row>
    <row r="440" spans="1:9" ht="12.75" customHeight="1">
      <c r="A440" s="273"/>
      <c r="B440" s="255" t="e">
        <f t="shared" si="56"/>
        <v>#N/A</v>
      </c>
      <c r="C440" s="255" t="str">
        <f t="shared" si="51"/>
        <v/>
      </c>
      <c r="D440" s="255" t="str">
        <f t="shared" si="52"/>
        <v/>
      </c>
      <c r="E440" s="255" t="str">
        <f t="shared" si="53"/>
        <v/>
      </c>
      <c r="F440" s="255" t="str">
        <f t="shared" si="57"/>
        <v/>
      </c>
      <c r="G440" s="255" t="str">
        <f t="shared" si="58"/>
        <v/>
      </c>
      <c r="H440" s="255" t="e">
        <f t="shared" si="54"/>
        <v>#N/A</v>
      </c>
      <c r="I440" s="257" t="e">
        <f t="shared" si="55"/>
        <v>#N/A</v>
      </c>
    </row>
    <row r="441" spans="1:9" ht="12.75" customHeight="1">
      <c r="A441" s="273"/>
      <c r="B441" s="255" t="e">
        <f t="shared" si="56"/>
        <v>#N/A</v>
      </c>
      <c r="C441" s="255" t="str">
        <f t="shared" si="51"/>
        <v/>
      </c>
      <c r="D441" s="255" t="str">
        <f t="shared" si="52"/>
        <v/>
      </c>
      <c r="E441" s="255" t="str">
        <f t="shared" si="53"/>
        <v/>
      </c>
      <c r="F441" s="255" t="str">
        <f t="shared" si="57"/>
        <v/>
      </c>
      <c r="G441" s="255" t="str">
        <f t="shared" si="58"/>
        <v/>
      </c>
      <c r="H441" s="255" t="e">
        <f t="shared" si="54"/>
        <v>#N/A</v>
      </c>
      <c r="I441" s="257" t="e">
        <f t="shared" si="55"/>
        <v>#N/A</v>
      </c>
    </row>
    <row r="442" spans="1:9" ht="12.75" customHeight="1">
      <c r="A442" s="273"/>
      <c r="B442" s="255" t="e">
        <f t="shared" si="56"/>
        <v>#N/A</v>
      </c>
      <c r="C442" s="255" t="str">
        <f t="shared" si="51"/>
        <v/>
      </c>
      <c r="D442" s="255" t="str">
        <f t="shared" si="52"/>
        <v/>
      </c>
      <c r="E442" s="255" t="str">
        <f t="shared" si="53"/>
        <v/>
      </c>
      <c r="F442" s="255" t="str">
        <f t="shared" si="57"/>
        <v/>
      </c>
      <c r="G442" s="255" t="str">
        <f t="shared" si="58"/>
        <v/>
      </c>
      <c r="H442" s="255" t="e">
        <f t="shared" si="54"/>
        <v>#N/A</v>
      </c>
      <c r="I442" s="257" t="e">
        <f t="shared" si="55"/>
        <v>#N/A</v>
      </c>
    </row>
    <row r="443" spans="1:9" ht="12.75" customHeight="1">
      <c r="A443" s="273"/>
      <c r="B443" s="255" t="e">
        <f t="shared" si="56"/>
        <v>#N/A</v>
      </c>
      <c r="C443" s="255" t="str">
        <f t="shared" si="51"/>
        <v/>
      </c>
      <c r="D443" s="255" t="str">
        <f t="shared" si="52"/>
        <v/>
      </c>
      <c r="E443" s="255" t="str">
        <f t="shared" si="53"/>
        <v/>
      </c>
      <c r="F443" s="255" t="str">
        <f t="shared" si="57"/>
        <v/>
      </c>
      <c r="G443" s="255" t="str">
        <f t="shared" si="58"/>
        <v/>
      </c>
      <c r="H443" s="255" t="e">
        <f t="shared" si="54"/>
        <v>#N/A</v>
      </c>
      <c r="I443" s="257" t="e">
        <f t="shared" si="55"/>
        <v>#N/A</v>
      </c>
    </row>
    <row r="444" spans="1:9" ht="12.75" customHeight="1">
      <c r="A444" s="273"/>
      <c r="B444" s="255" t="e">
        <f t="shared" si="56"/>
        <v>#N/A</v>
      </c>
      <c r="C444" s="255" t="str">
        <f t="shared" si="51"/>
        <v/>
      </c>
      <c r="D444" s="255" t="str">
        <f t="shared" si="52"/>
        <v/>
      </c>
      <c r="E444" s="255" t="str">
        <f t="shared" si="53"/>
        <v/>
      </c>
      <c r="F444" s="255" t="str">
        <f t="shared" si="57"/>
        <v/>
      </c>
      <c r="G444" s="255" t="str">
        <f t="shared" si="58"/>
        <v/>
      </c>
      <c r="H444" s="255" t="e">
        <f t="shared" si="54"/>
        <v>#N/A</v>
      </c>
      <c r="I444" s="257" t="e">
        <f t="shared" si="55"/>
        <v>#N/A</v>
      </c>
    </row>
    <row r="445" spans="1:9" ht="12.75" customHeight="1">
      <c r="A445" s="273"/>
      <c r="B445" s="255" t="e">
        <f t="shared" si="56"/>
        <v>#N/A</v>
      </c>
      <c r="C445" s="255" t="str">
        <f t="shared" si="51"/>
        <v/>
      </c>
      <c r="D445" s="255" t="str">
        <f t="shared" si="52"/>
        <v/>
      </c>
      <c r="E445" s="255" t="str">
        <f t="shared" si="53"/>
        <v/>
      </c>
      <c r="F445" s="255" t="str">
        <f t="shared" si="57"/>
        <v/>
      </c>
      <c r="G445" s="255" t="str">
        <f t="shared" si="58"/>
        <v/>
      </c>
      <c r="H445" s="255" t="e">
        <f t="shared" si="54"/>
        <v>#N/A</v>
      </c>
      <c r="I445" s="257" t="e">
        <f t="shared" si="55"/>
        <v>#N/A</v>
      </c>
    </row>
    <row r="446" spans="1:9" ht="12.75" customHeight="1">
      <c r="A446" s="273"/>
      <c r="B446" s="255" t="e">
        <f t="shared" si="56"/>
        <v>#N/A</v>
      </c>
      <c r="C446" s="255" t="str">
        <f t="shared" si="51"/>
        <v/>
      </c>
      <c r="D446" s="255" t="str">
        <f t="shared" si="52"/>
        <v/>
      </c>
      <c r="E446" s="255" t="str">
        <f t="shared" si="53"/>
        <v/>
      </c>
      <c r="F446" s="255" t="str">
        <f t="shared" si="57"/>
        <v/>
      </c>
      <c r="G446" s="255" t="str">
        <f t="shared" si="58"/>
        <v/>
      </c>
      <c r="H446" s="255" t="e">
        <f t="shared" si="54"/>
        <v>#N/A</v>
      </c>
      <c r="I446" s="257" t="e">
        <f t="shared" si="55"/>
        <v>#N/A</v>
      </c>
    </row>
    <row r="447" spans="1:9" ht="12.75" customHeight="1">
      <c r="A447" s="273"/>
      <c r="B447" s="255" t="e">
        <f t="shared" si="56"/>
        <v>#N/A</v>
      </c>
      <c r="C447" s="255" t="str">
        <f t="shared" si="51"/>
        <v/>
      </c>
      <c r="D447" s="255" t="str">
        <f t="shared" si="52"/>
        <v/>
      </c>
      <c r="E447" s="255" t="str">
        <f t="shared" si="53"/>
        <v/>
      </c>
      <c r="F447" s="255" t="str">
        <f t="shared" si="57"/>
        <v/>
      </c>
      <c r="G447" s="255" t="str">
        <f t="shared" si="58"/>
        <v/>
      </c>
      <c r="H447" s="255" t="e">
        <f t="shared" si="54"/>
        <v>#N/A</v>
      </c>
      <c r="I447" s="257" t="e">
        <f t="shared" si="55"/>
        <v>#N/A</v>
      </c>
    </row>
    <row r="448" spans="1:9" ht="12.75" customHeight="1">
      <c r="A448" s="273"/>
      <c r="B448" s="255" t="e">
        <f t="shared" si="56"/>
        <v>#N/A</v>
      </c>
      <c r="C448" s="255" t="str">
        <f t="shared" si="51"/>
        <v/>
      </c>
      <c r="D448" s="255" t="str">
        <f t="shared" si="52"/>
        <v/>
      </c>
      <c r="E448" s="255" t="str">
        <f t="shared" si="53"/>
        <v/>
      </c>
      <c r="F448" s="255" t="str">
        <f t="shared" si="57"/>
        <v/>
      </c>
      <c r="G448" s="255" t="str">
        <f t="shared" si="58"/>
        <v/>
      </c>
      <c r="H448" s="255" t="e">
        <f t="shared" si="54"/>
        <v>#N/A</v>
      </c>
      <c r="I448" s="257" t="e">
        <f t="shared" si="55"/>
        <v>#N/A</v>
      </c>
    </row>
    <row r="449" spans="1:9" ht="12.75" customHeight="1">
      <c r="A449" s="273"/>
      <c r="B449" s="255" t="e">
        <f t="shared" si="56"/>
        <v>#N/A</v>
      </c>
      <c r="C449" s="255" t="str">
        <f t="shared" si="51"/>
        <v/>
      </c>
      <c r="D449" s="255" t="str">
        <f t="shared" si="52"/>
        <v/>
      </c>
      <c r="E449" s="255" t="str">
        <f t="shared" si="53"/>
        <v/>
      </c>
      <c r="F449" s="255" t="str">
        <f t="shared" si="57"/>
        <v/>
      </c>
      <c r="G449" s="255" t="str">
        <f t="shared" si="58"/>
        <v/>
      </c>
      <c r="H449" s="255" t="e">
        <f t="shared" si="54"/>
        <v>#N/A</v>
      </c>
      <c r="I449" s="257" t="e">
        <f t="shared" si="55"/>
        <v>#N/A</v>
      </c>
    </row>
    <row r="450" spans="1:9" ht="12.75" customHeight="1">
      <c r="A450" s="273"/>
      <c r="B450" s="255" t="e">
        <f t="shared" si="56"/>
        <v>#N/A</v>
      </c>
      <c r="C450" s="255" t="str">
        <f t="shared" si="51"/>
        <v/>
      </c>
      <c r="D450" s="255" t="str">
        <f t="shared" si="52"/>
        <v/>
      </c>
      <c r="E450" s="255" t="str">
        <f t="shared" si="53"/>
        <v/>
      </c>
      <c r="F450" s="255" t="str">
        <f t="shared" si="57"/>
        <v/>
      </c>
      <c r="G450" s="255" t="str">
        <f t="shared" si="58"/>
        <v/>
      </c>
      <c r="H450" s="255" t="e">
        <f t="shared" si="54"/>
        <v>#N/A</v>
      </c>
      <c r="I450" s="257" t="e">
        <f t="shared" si="55"/>
        <v>#N/A</v>
      </c>
    </row>
    <row r="451" spans="1:9" ht="12.75" customHeight="1">
      <c r="A451" s="273"/>
      <c r="B451" s="255" t="e">
        <f t="shared" si="56"/>
        <v>#N/A</v>
      </c>
      <c r="C451" s="255" t="str">
        <f t="shared" si="51"/>
        <v/>
      </c>
      <c r="D451" s="255" t="str">
        <f t="shared" si="52"/>
        <v/>
      </c>
      <c r="E451" s="255" t="str">
        <f t="shared" si="53"/>
        <v/>
      </c>
      <c r="F451" s="255" t="str">
        <f t="shared" si="57"/>
        <v/>
      </c>
      <c r="G451" s="255" t="str">
        <f t="shared" si="58"/>
        <v/>
      </c>
      <c r="H451" s="255" t="e">
        <f t="shared" si="54"/>
        <v>#N/A</v>
      </c>
      <c r="I451" s="257" t="e">
        <f t="shared" si="55"/>
        <v>#N/A</v>
      </c>
    </row>
    <row r="452" spans="1:9" ht="12.75" customHeight="1">
      <c r="A452" s="273"/>
      <c r="B452" s="255" t="e">
        <f t="shared" si="56"/>
        <v>#N/A</v>
      </c>
      <c r="C452" s="255" t="str">
        <f t="shared" si="51"/>
        <v/>
      </c>
      <c r="D452" s="255" t="str">
        <f t="shared" si="52"/>
        <v/>
      </c>
      <c r="E452" s="255" t="str">
        <f t="shared" si="53"/>
        <v/>
      </c>
      <c r="F452" s="255" t="str">
        <f t="shared" si="57"/>
        <v/>
      </c>
      <c r="G452" s="255" t="str">
        <f t="shared" si="58"/>
        <v/>
      </c>
      <c r="H452" s="255" t="e">
        <f t="shared" si="54"/>
        <v>#N/A</v>
      </c>
      <c r="I452" s="257" t="e">
        <f t="shared" si="55"/>
        <v>#N/A</v>
      </c>
    </row>
    <row r="453" spans="1:9" ht="12.75" customHeight="1">
      <c r="A453" s="273"/>
      <c r="B453" s="255" t="e">
        <f t="shared" si="56"/>
        <v>#N/A</v>
      </c>
      <c r="C453" s="255" t="str">
        <f t="shared" ref="C453:C516" si="59">IF(ISBLANK(A453),"",C452+1)</f>
        <v/>
      </c>
      <c r="D453" s="255" t="str">
        <f t="shared" ref="D453:D516" si="60">IF(ISBLANK(A453),"",NORMSDIST((B453-$B$24)/$B$25))</f>
        <v/>
      </c>
      <c r="E453" s="255" t="str">
        <f t="shared" ref="E453:E516" si="61">IF(ISBLANK(A453),"",1-D453)</f>
        <v/>
      </c>
      <c r="F453" s="255" t="str">
        <f t="shared" si="57"/>
        <v/>
      </c>
      <c r="G453" s="255" t="str">
        <f t="shared" si="58"/>
        <v/>
      </c>
      <c r="H453" s="255" t="e">
        <f t="shared" ref="H453:H516" si="62">IF(A453="",NA(),NORMINV((C453-3/8)/($B$23+1/4),$B$24,$B$25))</f>
        <v>#N/A</v>
      </c>
      <c r="I453" s="257" t="e">
        <f t="shared" ref="I453:I516" si="63">IF(B453="",NA(),(C453-3/8)/($B$23+1/4))</f>
        <v>#N/A</v>
      </c>
    </row>
    <row r="454" spans="1:9" ht="12.75" customHeight="1">
      <c r="A454" s="273"/>
      <c r="B454" s="255" t="e">
        <f t="shared" si="56"/>
        <v>#N/A</v>
      </c>
      <c r="C454" s="255" t="str">
        <f t="shared" si="59"/>
        <v/>
      </c>
      <c r="D454" s="255" t="str">
        <f t="shared" si="60"/>
        <v/>
      </c>
      <c r="E454" s="255" t="str">
        <f t="shared" si="61"/>
        <v/>
      </c>
      <c r="F454" s="255" t="str">
        <f t="shared" si="57"/>
        <v/>
      </c>
      <c r="G454" s="255" t="str">
        <f t="shared" si="58"/>
        <v/>
      </c>
      <c r="H454" s="255" t="e">
        <f t="shared" si="62"/>
        <v>#N/A</v>
      </c>
      <c r="I454" s="257" t="e">
        <f t="shared" si="63"/>
        <v>#N/A</v>
      </c>
    </row>
    <row r="455" spans="1:9" ht="12.75" customHeight="1">
      <c r="A455" s="273"/>
      <c r="B455" s="255" t="e">
        <f t="shared" si="56"/>
        <v>#N/A</v>
      </c>
      <c r="C455" s="255" t="str">
        <f t="shared" si="59"/>
        <v/>
      </c>
      <c r="D455" s="255" t="str">
        <f t="shared" si="60"/>
        <v/>
      </c>
      <c r="E455" s="255" t="str">
        <f t="shared" si="61"/>
        <v/>
      </c>
      <c r="F455" s="255" t="str">
        <f t="shared" si="57"/>
        <v/>
      </c>
      <c r="G455" s="255" t="str">
        <f t="shared" si="58"/>
        <v/>
      </c>
      <c r="H455" s="255" t="e">
        <f t="shared" si="62"/>
        <v>#N/A</v>
      </c>
      <c r="I455" s="257" t="e">
        <f t="shared" si="63"/>
        <v>#N/A</v>
      </c>
    </row>
    <row r="456" spans="1:9" ht="12.75" customHeight="1">
      <c r="A456" s="273"/>
      <c r="B456" s="255" t="e">
        <f t="shared" si="56"/>
        <v>#N/A</v>
      </c>
      <c r="C456" s="255" t="str">
        <f t="shared" si="59"/>
        <v/>
      </c>
      <c r="D456" s="255" t="str">
        <f t="shared" si="60"/>
        <v/>
      </c>
      <c r="E456" s="255" t="str">
        <f t="shared" si="61"/>
        <v/>
      </c>
      <c r="F456" s="255" t="str">
        <f t="shared" si="57"/>
        <v/>
      </c>
      <c r="G456" s="255" t="str">
        <f t="shared" si="58"/>
        <v/>
      </c>
      <c r="H456" s="255" t="e">
        <f t="shared" si="62"/>
        <v>#N/A</v>
      </c>
      <c r="I456" s="257" t="e">
        <f t="shared" si="63"/>
        <v>#N/A</v>
      </c>
    </row>
    <row r="457" spans="1:9" ht="12.75" customHeight="1">
      <c r="A457" s="273"/>
      <c r="B457" s="255" t="e">
        <f t="shared" si="56"/>
        <v>#N/A</v>
      </c>
      <c r="C457" s="255" t="str">
        <f t="shared" si="59"/>
        <v/>
      </c>
      <c r="D457" s="255" t="str">
        <f t="shared" si="60"/>
        <v/>
      </c>
      <c r="E457" s="255" t="str">
        <f t="shared" si="61"/>
        <v/>
      </c>
      <c r="F457" s="255" t="str">
        <f t="shared" si="57"/>
        <v/>
      </c>
      <c r="G457" s="255" t="str">
        <f t="shared" si="58"/>
        <v/>
      </c>
      <c r="H457" s="255" t="e">
        <f t="shared" si="62"/>
        <v>#N/A</v>
      </c>
      <c r="I457" s="257" t="e">
        <f t="shared" si="63"/>
        <v>#N/A</v>
      </c>
    </row>
    <row r="458" spans="1:9" ht="12.75" customHeight="1">
      <c r="A458" s="273"/>
      <c r="B458" s="255" t="e">
        <f t="shared" si="56"/>
        <v>#N/A</v>
      </c>
      <c r="C458" s="255" t="str">
        <f t="shared" si="59"/>
        <v/>
      </c>
      <c r="D458" s="255" t="str">
        <f t="shared" si="60"/>
        <v/>
      </c>
      <c r="E458" s="255" t="str">
        <f t="shared" si="61"/>
        <v/>
      </c>
      <c r="F458" s="255" t="str">
        <f t="shared" si="57"/>
        <v/>
      </c>
      <c r="G458" s="255" t="str">
        <f t="shared" si="58"/>
        <v/>
      </c>
      <c r="H458" s="255" t="e">
        <f t="shared" si="62"/>
        <v>#N/A</v>
      </c>
      <c r="I458" s="257" t="e">
        <f t="shared" si="63"/>
        <v>#N/A</v>
      </c>
    </row>
    <row r="459" spans="1:9" ht="12.75" customHeight="1">
      <c r="A459" s="273"/>
      <c r="B459" s="255" t="e">
        <f t="shared" si="56"/>
        <v>#N/A</v>
      </c>
      <c r="C459" s="255" t="str">
        <f t="shared" si="59"/>
        <v/>
      </c>
      <c r="D459" s="255" t="str">
        <f t="shared" si="60"/>
        <v/>
      </c>
      <c r="E459" s="255" t="str">
        <f t="shared" si="61"/>
        <v/>
      </c>
      <c r="F459" s="255" t="str">
        <f t="shared" si="57"/>
        <v/>
      </c>
      <c r="G459" s="255" t="str">
        <f t="shared" si="58"/>
        <v/>
      </c>
      <c r="H459" s="255" t="e">
        <f t="shared" si="62"/>
        <v>#N/A</v>
      </c>
      <c r="I459" s="257" t="e">
        <f t="shared" si="63"/>
        <v>#N/A</v>
      </c>
    </row>
    <row r="460" spans="1:9" ht="12.75" customHeight="1">
      <c r="A460" s="273"/>
      <c r="B460" s="255" t="e">
        <f t="shared" si="56"/>
        <v>#N/A</v>
      </c>
      <c r="C460" s="255" t="str">
        <f t="shared" si="59"/>
        <v/>
      </c>
      <c r="D460" s="255" t="str">
        <f t="shared" si="60"/>
        <v/>
      </c>
      <c r="E460" s="255" t="str">
        <f t="shared" si="61"/>
        <v/>
      </c>
      <c r="F460" s="255" t="str">
        <f t="shared" si="57"/>
        <v/>
      </c>
      <c r="G460" s="255" t="str">
        <f t="shared" si="58"/>
        <v/>
      </c>
      <c r="H460" s="255" t="e">
        <f t="shared" si="62"/>
        <v>#N/A</v>
      </c>
      <c r="I460" s="257" t="e">
        <f t="shared" si="63"/>
        <v>#N/A</v>
      </c>
    </row>
    <row r="461" spans="1:9" ht="12.75" customHeight="1">
      <c r="A461" s="273"/>
      <c r="B461" s="255" t="e">
        <f t="shared" si="56"/>
        <v>#N/A</v>
      </c>
      <c r="C461" s="255" t="str">
        <f t="shared" si="59"/>
        <v/>
      </c>
      <c r="D461" s="255" t="str">
        <f t="shared" si="60"/>
        <v/>
      </c>
      <c r="E461" s="255" t="str">
        <f t="shared" si="61"/>
        <v/>
      </c>
      <c r="F461" s="255" t="str">
        <f t="shared" si="57"/>
        <v/>
      </c>
      <c r="G461" s="255" t="str">
        <f t="shared" si="58"/>
        <v/>
      </c>
      <c r="H461" s="255" t="e">
        <f t="shared" si="62"/>
        <v>#N/A</v>
      </c>
      <c r="I461" s="257" t="e">
        <f t="shared" si="63"/>
        <v>#N/A</v>
      </c>
    </row>
    <row r="462" spans="1:9" ht="12.75" customHeight="1">
      <c r="A462" s="273"/>
      <c r="B462" s="255" t="e">
        <f t="shared" si="56"/>
        <v>#N/A</v>
      </c>
      <c r="C462" s="255" t="str">
        <f t="shared" si="59"/>
        <v/>
      </c>
      <c r="D462" s="255" t="str">
        <f t="shared" si="60"/>
        <v/>
      </c>
      <c r="E462" s="255" t="str">
        <f t="shared" si="61"/>
        <v/>
      </c>
      <c r="F462" s="255" t="str">
        <f t="shared" si="57"/>
        <v/>
      </c>
      <c r="G462" s="255" t="str">
        <f t="shared" si="58"/>
        <v/>
      </c>
      <c r="H462" s="255" t="e">
        <f t="shared" si="62"/>
        <v>#N/A</v>
      </c>
      <c r="I462" s="257" t="e">
        <f t="shared" si="63"/>
        <v>#N/A</v>
      </c>
    </row>
    <row r="463" spans="1:9" ht="12.75" customHeight="1">
      <c r="A463" s="273"/>
      <c r="B463" s="255" t="e">
        <f t="shared" si="56"/>
        <v>#N/A</v>
      </c>
      <c r="C463" s="255" t="str">
        <f t="shared" si="59"/>
        <v/>
      </c>
      <c r="D463" s="255" t="str">
        <f t="shared" si="60"/>
        <v/>
      </c>
      <c r="E463" s="255" t="str">
        <f t="shared" si="61"/>
        <v/>
      </c>
      <c r="F463" s="255" t="str">
        <f t="shared" si="57"/>
        <v/>
      </c>
      <c r="G463" s="255" t="str">
        <f t="shared" si="58"/>
        <v/>
      </c>
      <c r="H463" s="255" t="e">
        <f t="shared" si="62"/>
        <v>#N/A</v>
      </c>
      <c r="I463" s="257" t="e">
        <f t="shared" si="63"/>
        <v>#N/A</v>
      </c>
    </row>
    <row r="464" spans="1:9" ht="12.75" customHeight="1">
      <c r="A464" s="273"/>
      <c r="B464" s="255" t="e">
        <f t="shared" si="56"/>
        <v>#N/A</v>
      </c>
      <c r="C464" s="255" t="str">
        <f t="shared" si="59"/>
        <v/>
      </c>
      <c r="D464" s="255" t="str">
        <f t="shared" si="60"/>
        <v/>
      </c>
      <c r="E464" s="255" t="str">
        <f t="shared" si="61"/>
        <v/>
      </c>
      <c r="F464" s="255" t="str">
        <f t="shared" si="57"/>
        <v/>
      </c>
      <c r="G464" s="255" t="str">
        <f t="shared" si="58"/>
        <v/>
      </c>
      <c r="H464" s="255" t="e">
        <f t="shared" si="62"/>
        <v>#N/A</v>
      </c>
      <c r="I464" s="257" t="e">
        <f t="shared" si="63"/>
        <v>#N/A</v>
      </c>
    </row>
    <row r="465" spans="1:9" ht="12.75" customHeight="1">
      <c r="A465" s="273"/>
      <c r="B465" s="255" t="e">
        <f t="shared" si="56"/>
        <v>#N/A</v>
      </c>
      <c r="C465" s="255" t="str">
        <f t="shared" si="59"/>
        <v/>
      </c>
      <c r="D465" s="255" t="str">
        <f t="shared" si="60"/>
        <v/>
      </c>
      <c r="E465" s="255" t="str">
        <f t="shared" si="61"/>
        <v/>
      </c>
      <c r="F465" s="255" t="str">
        <f t="shared" si="57"/>
        <v/>
      </c>
      <c r="G465" s="255" t="str">
        <f t="shared" si="58"/>
        <v/>
      </c>
      <c r="H465" s="255" t="e">
        <f t="shared" si="62"/>
        <v>#N/A</v>
      </c>
      <c r="I465" s="257" t="e">
        <f t="shared" si="63"/>
        <v>#N/A</v>
      </c>
    </row>
    <row r="466" spans="1:9" ht="12.75" customHeight="1">
      <c r="A466" s="273"/>
      <c r="B466" s="255" t="e">
        <f t="shared" si="56"/>
        <v>#N/A</v>
      </c>
      <c r="C466" s="255" t="str">
        <f t="shared" si="59"/>
        <v/>
      </c>
      <c r="D466" s="255" t="str">
        <f t="shared" si="60"/>
        <v/>
      </c>
      <c r="E466" s="255" t="str">
        <f t="shared" si="61"/>
        <v/>
      </c>
      <c r="F466" s="255" t="str">
        <f t="shared" si="57"/>
        <v/>
      </c>
      <c r="G466" s="255" t="str">
        <f t="shared" si="58"/>
        <v/>
      </c>
      <c r="H466" s="255" t="e">
        <f t="shared" si="62"/>
        <v>#N/A</v>
      </c>
      <c r="I466" s="257" t="e">
        <f t="shared" si="63"/>
        <v>#N/A</v>
      </c>
    </row>
    <row r="467" spans="1:9" ht="12.75" customHeight="1">
      <c r="A467" s="273"/>
      <c r="B467" s="255" t="e">
        <f t="shared" si="56"/>
        <v>#N/A</v>
      </c>
      <c r="C467" s="255" t="str">
        <f t="shared" si="59"/>
        <v/>
      </c>
      <c r="D467" s="255" t="str">
        <f t="shared" si="60"/>
        <v/>
      </c>
      <c r="E467" s="255" t="str">
        <f t="shared" si="61"/>
        <v/>
      </c>
      <c r="F467" s="255" t="str">
        <f t="shared" si="57"/>
        <v/>
      </c>
      <c r="G467" s="255" t="str">
        <f t="shared" si="58"/>
        <v/>
      </c>
      <c r="H467" s="255" t="e">
        <f t="shared" si="62"/>
        <v>#N/A</v>
      </c>
      <c r="I467" s="257" t="e">
        <f t="shared" si="63"/>
        <v>#N/A</v>
      </c>
    </row>
    <row r="468" spans="1:9" ht="12.75" customHeight="1">
      <c r="A468" s="273"/>
      <c r="B468" s="255" t="e">
        <f t="shared" si="56"/>
        <v>#N/A</v>
      </c>
      <c r="C468" s="255" t="str">
        <f t="shared" si="59"/>
        <v/>
      </c>
      <c r="D468" s="255" t="str">
        <f t="shared" si="60"/>
        <v/>
      </c>
      <c r="E468" s="255" t="str">
        <f t="shared" si="61"/>
        <v/>
      </c>
      <c r="F468" s="255" t="str">
        <f t="shared" si="57"/>
        <v/>
      </c>
      <c r="G468" s="255" t="str">
        <f t="shared" si="58"/>
        <v/>
      </c>
      <c r="H468" s="255" t="e">
        <f t="shared" si="62"/>
        <v>#N/A</v>
      </c>
      <c r="I468" s="257" t="e">
        <f t="shared" si="63"/>
        <v>#N/A</v>
      </c>
    </row>
    <row r="469" spans="1:9" ht="12.75" customHeight="1">
      <c r="A469" s="273"/>
      <c r="B469" s="255" t="e">
        <f t="shared" si="56"/>
        <v>#N/A</v>
      </c>
      <c r="C469" s="255" t="str">
        <f t="shared" si="59"/>
        <v/>
      </c>
      <c r="D469" s="255" t="str">
        <f t="shared" si="60"/>
        <v/>
      </c>
      <c r="E469" s="255" t="str">
        <f t="shared" si="61"/>
        <v/>
      </c>
      <c r="F469" s="255" t="str">
        <f t="shared" si="57"/>
        <v/>
      </c>
      <c r="G469" s="255" t="str">
        <f t="shared" si="58"/>
        <v/>
      </c>
      <c r="H469" s="255" t="e">
        <f t="shared" si="62"/>
        <v>#N/A</v>
      </c>
      <c r="I469" s="257" t="e">
        <f t="shared" si="63"/>
        <v>#N/A</v>
      </c>
    </row>
    <row r="470" spans="1:9" ht="12.75" customHeight="1">
      <c r="A470" s="273"/>
      <c r="B470" s="255" t="e">
        <f t="shared" si="56"/>
        <v>#N/A</v>
      </c>
      <c r="C470" s="255" t="str">
        <f t="shared" si="59"/>
        <v/>
      </c>
      <c r="D470" s="255" t="str">
        <f t="shared" si="60"/>
        <v/>
      </c>
      <c r="E470" s="255" t="str">
        <f t="shared" si="61"/>
        <v/>
      </c>
      <c r="F470" s="255" t="str">
        <f t="shared" si="57"/>
        <v/>
      </c>
      <c r="G470" s="255" t="str">
        <f t="shared" si="58"/>
        <v/>
      </c>
      <c r="H470" s="255" t="e">
        <f t="shared" si="62"/>
        <v>#N/A</v>
      </c>
      <c r="I470" s="257" t="e">
        <f t="shared" si="63"/>
        <v>#N/A</v>
      </c>
    </row>
    <row r="471" spans="1:9" ht="12.75" customHeight="1">
      <c r="A471" s="273"/>
      <c r="B471" s="255" t="e">
        <f t="shared" si="56"/>
        <v>#N/A</v>
      </c>
      <c r="C471" s="255" t="str">
        <f t="shared" si="59"/>
        <v/>
      </c>
      <c r="D471" s="255" t="str">
        <f t="shared" si="60"/>
        <v/>
      </c>
      <c r="E471" s="255" t="str">
        <f t="shared" si="61"/>
        <v/>
      </c>
      <c r="F471" s="255" t="str">
        <f t="shared" si="57"/>
        <v/>
      </c>
      <c r="G471" s="255" t="str">
        <f t="shared" si="58"/>
        <v/>
      </c>
      <c r="H471" s="255" t="e">
        <f t="shared" si="62"/>
        <v>#N/A</v>
      </c>
      <c r="I471" s="257" t="e">
        <f t="shared" si="63"/>
        <v>#N/A</v>
      </c>
    </row>
    <row r="472" spans="1:9" ht="12.75" customHeight="1">
      <c r="A472" s="273"/>
      <c r="B472" s="255" t="e">
        <f t="shared" si="56"/>
        <v>#N/A</v>
      </c>
      <c r="C472" s="255" t="str">
        <f t="shared" si="59"/>
        <v/>
      </c>
      <c r="D472" s="255" t="str">
        <f t="shared" si="60"/>
        <v/>
      </c>
      <c r="E472" s="255" t="str">
        <f t="shared" si="61"/>
        <v/>
      </c>
      <c r="F472" s="255" t="str">
        <f t="shared" si="57"/>
        <v/>
      </c>
      <c r="G472" s="255" t="str">
        <f t="shared" si="58"/>
        <v/>
      </c>
      <c r="H472" s="255" t="e">
        <f t="shared" si="62"/>
        <v>#N/A</v>
      </c>
      <c r="I472" s="257" t="e">
        <f t="shared" si="63"/>
        <v>#N/A</v>
      </c>
    </row>
    <row r="473" spans="1:9" ht="12.75" customHeight="1">
      <c r="A473" s="273"/>
      <c r="B473" s="255" t="e">
        <f t="shared" si="56"/>
        <v>#N/A</v>
      </c>
      <c r="C473" s="255" t="str">
        <f t="shared" si="59"/>
        <v/>
      </c>
      <c r="D473" s="255" t="str">
        <f t="shared" si="60"/>
        <v/>
      </c>
      <c r="E473" s="255" t="str">
        <f t="shared" si="61"/>
        <v/>
      </c>
      <c r="F473" s="255" t="str">
        <f t="shared" si="57"/>
        <v/>
      </c>
      <c r="G473" s="255" t="str">
        <f t="shared" si="58"/>
        <v/>
      </c>
      <c r="H473" s="255" t="e">
        <f t="shared" si="62"/>
        <v>#N/A</v>
      </c>
      <c r="I473" s="257" t="e">
        <f t="shared" si="63"/>
        <v>#N/A</v>
      </c>
    </row>
    <row r="474" spans="1:9" ht="12.75" customHeight="1">
      <c r="A474" s="273"/>
      <c r="B474" s="255" t="e">
        <f t="shared" si="56"/>
        <v>#N/A</v>
      </c>
      <c r="C474" s="255" t="str">
        <f t="shared" si="59"/>
        <v/>
      </c>
      <c r="D474" s="255" t="str">
        <f t="shared" si="60"/>
        <v/>
      </c>
      <c r="E474" s="255" t="str">
        <f t="shared" si="61"/>
        <v/>
      </c>
      <c r="F474" s="255" t="str">
        <f t="shared" si="57"/>
        <v/>
      </c>
      <c r="G474" s="255" t="str">
        <f t="shared" si="58"/>
        <v/>
      </c>
      <c r="H474" s="255" t="e">
        <f t="shared" si="62"/>
        <v>#N/A</v>
      </c>
      <c r="I474" s="257" t="e">
        <f t="shared" si="63"/>
        <v>#N/A</v>
      </c>
    </row>
    <row r="475" spans="1:9" ht="12.75" customHeight="1">
      <c r="A475" s="273"/>
      <c r="B475" s="255" t="e">
        <f t="shared" si="56"/>
        <v>#N/A</v>
      </c>
      <c r="C475" s="255" t="str">
        <f t="shared" si="59"/>
        <v/>
      </c>
      <c r="D475" s="255" t="str">
        <f t="shared" si="60"/>
        <v/>
      </c>
      <c r="E475" s="255" t="str">
        <f t="shared" si="61"/>
        <v/>
      </c>
      <c r="F475" s="255" t="str">
        <f t="shared" si="57"/>
        <v/>
      </c>
      <c r="G475" s="255" t="str">
        <f t="shared" si="58"/>
        <v/>
      </c>
      <c r="H475" s="255" t="e">
        <f t="shared" si="62"/>
        <v>#N/A</v>
      </c>
      <c r="I475" s="257" t="e">
        <f t="shared" si="63"/>
        <v>#N/A</v>
      </c>
    </row>
    <row r="476" spans="1:9" ht="12.75" customHeight="1">
      <c r="A476" s="273"/>
      <c r="B476" s="255" t="e">
        <f t="shared" si="56"/>
        <v>#N/A</v>
      </c>
      <c r="C476" s="255" t="str">
        <f t="shared" si="59"/>
        <v/>
      </c>
      <c r="D476" s="255" t="str">
        <f t="shared" si="60"/>
        <v/>
      </c>
      <c r="E476" s="255" t="str">
        <f t="shared" si="61"/>
        <v/>
      </c>
      <c r="F476" s="255" t="str">
        <f t="shared" si="57"/>
        <v/>
      </c>
      <c r="G476" s="255" t="str">
        <f t="shared" si="58"/>
        <v/>
      </c>
      <c r="H476" s="255" t="e">
        <f t="shared" si="62"/>
        <v>#N/A</v>
      </c>
      <c r="I476" s="257" t="e">
        <f t="shared" si="63"/>
        <v>#N/A</v>
      </c>
    </row>
    <row r="477" spans="1:9" ht="12.75" customHeight="1">
      <c r="A477" s="273"/>
      <c r="B477" s="255" t="e">
        <f t="shared" si="56"/>
        <v>#N/A</v>
      </c>
      <c r="C477" s="255" t="str">
        <f t="shared" si="59"/>
        <v/>
      </c>
      <c r="D477" s="255" t="str">
        <f t="shared" si="60"/>
        <v/>
      </c>
      <c r="E477" s="255" t="str">
        <f t="shared" si="61"/>
        <v/>
      </c>
      <c r="F477" s="255" t="str">
        <f t="shared" si="57"/>
        <v/>
      </c>
      <c r="G477" s="255" t="str">
        <f t="shared" si="58"/>
        <v/>
      </c>
      <c r="H477" s="255" t="e">
        <f t="shared" si="62"/>
        <v>#N/A</v>
      </c>
      <c r="I477" s="257" t="e">
        <f t="shared" si="63"/>
        <v>#N/A</v>
      </c>
    </row>
    <row r="478" spans="1:9" ht="12.75" customHeight="1">
      <c r="A478" s="273"/>
      <c r="B478" s="255" t="e">
        <f t="shared" si="56"/>
        <v>#N/A</v>
      </c>
      <c r="C478" s="255" t="str">
        <f t="shared" si="59"/>
        <v/>
      </c>
      <c r="D478" s="255" t="str">
        <f t="shared" si="60"/>
        <v/>
      </c>
      <c r="E478" s="255" t="str">
        <f t="shared" si="61"/>
        <v/>
      </c>
      <c r="F478" s="255" t="str">
        <f t="shared" si="57"/>
        <v/>
      </c>
      <c r="G478" s="255" t="str">
        <f t="shared" si="58"/>
        <v/>
      </c>
      <c r="H478" s="255" t="e">
        <f t="shared" si="62"/>
        <v>#N/A</v>
      </c>
      <c r="I478" s="257" t="e">
        <f t="shared" si="63"/>
        <v>#N/A</v>
      </c>
    </row>
    <row r="479" spans="1:9" ht="12.75" customHeight="1">
      <c r="A479" s="273"/>
      <c r="B479" s="255" t="e">
        <f t="shared" si="56"/>
        <v>#N/A</v>
      </c>
      <c r="C479" s="255" t="str">
        <f t="shared" si="59"/>
        <v/>
      </c>
      <c r="D479" s="255" t="str">
        <f t="shared" si="60"/>
        <v/>
      </c>
      <c r="E479" s="255" t="str">
        <f t="shared" si="61"/>
        <v/>
      </c>
      <c r="F479" s="255" t="str">
        <f t="shared" si="57"/>
        <v/>
      </c>
      <c r="G479" s="255" t="str">
        <f t="shared" si="58"/>
        <v/>
      </c>
      <c r="H479" s="255" t="e">
        <f t="shared" si="62"/>
        <v>#N/A</v>
      </c>
      <c r="I479" s="257" t="e">
        <f t="shared" si="63"/>
        <v>#N/A</v>
      </c>
    </row>
    <row r="480" spans="1:9" ht="12.75" customHeight="1">
      <c r="A480" s="273"/>
      <c r="B480" s="255" t="e">
        <f t="shared" si="56"/>
        <v>#N/A</v>
      </c>
      <c r="C480" s="255" t="str">
        <f t="shared" si="59"/>
        <v/>
      </c>
      <c r="D480" s="255" t="str">
        <f t="shared" si="60"/>
        <v/>
      </c>
      <c r="E480" s="255" t="str">
        <f t="shared" si="61"/>
        <v/>
      </c>
      <c r="F480" s="255" t="str">
        <f t="shared" si="57"/>
        <v/>
      </c>
      <c r="G480" s="255" t="str">
        <f t="shared" si="58"/>
        <v/>
      </c>
      <c r="H480" s="255" t="e">
        <f t="shared" si="62"/>
        <v>#N/A</v>
      </c>
      <c r="I480" s="257" t="e">
        <f t="shared" si="63"/>
        <v>#N/A</v>
      </c>
    </row>
    <row r="481" spans="1:9" ht="12.75" customHeight="1">
      <c r="A481" s="273"/>
      <c r="B481" s="255" t="e">
        <f t="shared" si="56"/>
        <v>#N/A</v>
      </c>
      <c r="C481" s="255" t="str">
        <f t="shared" si="59"/>
        <v/>
      </c>
      <c r="D481" s="255" t="str">
        <f t="shared" si="60"/>
        <v/>
      </c>
      <c r="E481" s="255" t="str">
        <f t="shared" si="61"/>
        <v/>
      </c>
      <c r="F481" s="255" t="str">
        <f t="shared" si="57"/>
        <v/>
      </c>
      <c r="G481" s="255" t="str">
        <f t="shared" si="58"/>
        <v/>
      </c>
      <c r="H481" s="255" t="e">
        <f t="shared" si="62"/>
        <v>#N/A</v>
      </c>
      <c r="I481" s="257" t="e">
        <f t="shared" si="63"/>
        <v>#N/A</v>
      </c>
    </row>
    <row r="482" spans="1:9" ht="12.75" customHeight="1">
      <c r="A482" s="273"/>
      <c r="B482" s="255" t="e">
        <f t="shared" si="56"/>
        <v>#N/A</v>
      </c>
      <c r="C482" s="255" t="str">
        <f t="shared" si="59"/>
        <v/>
      </c>
      <c r="D482" s="255" t="str">
        <f t="shared" si="60"/>
        <v/>
      </c>
      <c r="E482" s="255" t="str">
        <f t="shared" si="61"/>
        <v/>
      </c>
      <c r="F482" s="255" t="str">
        <f t="shared" si="57"/>
        <v/>
      </c>
      <c r="G482" s="255" t="str">
        <f t="shared" si="58"/>
        <v/>
      </c>
      <c r="H482" s="255" t="e">
        <f t="shared" si="62"/>
        <v>#N/A</v>
      </c>
      <c r="I482" s="257" t="e">
        <f t="shared" si="63"/>
        <v>#N/A</v>
      </c>
    </row>
    <row r="483" spans="1:9" ht="12.75" customHeight="1">
      <c r="A483" s="273"/>
      <c r="B483" s="255" t="e">
        <f t="shared" ref="B483:B533" si="64">IF(ISBLANK(A483),NA(),SMALL(A$34:A$533,C483))</f>
        <v>#N/A</v>
      </c>
      <c r="C483" s="255" t="str">
        <f t="shared" si="59"/>
        <v/>
      </c>
      <c r="D483" s="255" t="str">
        <f t="shared" si="60"/>
        <v/>
      </c>
      <c r="E483" s="255" t="str">
        <f t="shared" si="61"/>
        <v/>
      </c>
      <c r="F483" s="255" t="str">
        <f t="shared" ref="F483:F533" si="65">IF(ISBLANK(A483),"",SMALL($E$34:$E$533,C483))</f>
        <v/>
      </c>
      <c r="G483" s="255" t="str">
        <f t="shared" ref="G483:G533" si="66">IF(ISBLANK(A483),"",(2*C483-1)*(LN(F483)+LN(D483)))</f>
        <v/>
      </c>
      <c r="H483" s="255" t="e">
        <f t="shared" si="62"/>
        <v>#N/A</v>
      </c>
      <c r="I483" s="257" t="e">
        <f t="shared" si="63"/>
        <v>#N/A</v>
      </c>
    </row>
    <row r="484" spans="1:9" ht="12.75" customHeight="1">
      <c r="A484" s="273"/>
      <c r="B484" s="255" t="e">
        <f t="shared" si="64"/>
        <v>#N/A</v>
      </c>
      <c r="C484" s="255" t="str">
        <f t="shared" si="59"/>
        <v/>
      </c>
      <c r="D484" s="255" t="str">
        <f t="shared" si="60"/>
        <v/>
      </c>
      <c r="E484" s="255" t="str">
        <f t="shared" si="61"/>
        <v/>
      </c>
      <c r="F484" s="255" t="str">
        <f t="shared" si="65"/>
        <v/>
      </c>
      <c r="G484" s="255" t="str">
        <f t="shared" si="66"/>
        <v/>
      </c>
      <c r="H484" s="255" t="e">
        <f t="shared" si="62"/>
        <v>#N/A</v>
      </c>
      <c r="I484" s="257" t="e">
        <f t="shared" si="63"/>
        <v>#N/A</v>
      </c>
    </row>
    <row r="485" spans="1:9" ht="12.75" customHeight="1">
      <c r="A485" s="273"/>
      <c r="B485" s="255" t="e">
        <f t="shared" si="64"/>
        <v>#N/A</v>
      </c>
      <c r="C485" s="255" t="str">
        <f t="shared" si="59"/>
        <v/>
      </c>
      <c r="D485" s="255" t="str">
        <f t="shared" si="60"/>
        <v/>
      </c>
      <c r="E485" s="255" t="str">
        <f t="shared" si="61"/>
        <v/>
      </c>
      <c r="F485" s="255" t="str">
        <f t="shared" si="65"/>
        <v/>
      </c>
      <c r="G485" s="255" t="str">
        <f t="shared" si="66"/>
        <v/>
      </c>
      <c r="H485" s="255" t="e">
        <f t="shared" si="62"/>
        <v>#N/A</v>
      </c>
      <c r="I485" s="257" t="e">
        <f t="shared" si="63"/>
        <v>#N/A</v>
      </c>
    </row>
    <row r="486" spans="1:9" ht="12.75" customHeight="1">
      <c r="A486" s="273"/>
      <c r="B486" s="255" t="e">
        <f t="shared" si="64"/>
        <v>#N/A</v>
      </c>
      <c r="C486" s="255" t="str">
        <f t="shared" si="59"/>
        <v/>
      </c>
      <c r="D486" s="255" t="str">
        <f t="shared" si="60"/>
        <v/>
      </c>
      <c r="E486" s="255" t="str">
        <f t="shared" si="61"/>
        <v/>
      </c>
      <c r="F486" s="255" t="str">
        <f t="shared" si="65"/>
        <v/>
      </c>
      <c r="G486" s="255" t="str">
        <f t="shared" si="66"/>
        <v/>
      </c>
      <c r="H486" s="255" t="e">
        <f t="shared" si="62"/>
        <v>#N/A</v>
      </c>
      <c r="I486" s="257" t="e">
        <f t="shared" si="63"/>
        <v>#N/A</v>
      </c>
    </row>
    <row r="487" spans="1:9" ht="12.75" customHeight="1">
      <c r="A487" s="273"/>
      <c r="B487" s="255" t="e">
        <f t="shared" si="64"/>
        <v>#N/A</v>
      </c>
      <c r="C487" s="255" t="str">
        <f t="shared" si="59"/>
        <v/>
      </c>
      <c r="D487" s="255" t="str">
        <f t="shared" si="60"/>
        <v/>
      </c>
      <c r="E487" s="255" t="str">
        <f t="shared" si="61"/>
        <v/>
      </c>
      <c r="F487" s="255" t="str">
        <f t="shared" si="65"/>
        <v/>
      </c>
      <c r="G487" s="255" t="str">
        <f t="shared" si="66"/>
        <v/>
      </c>
      <c r="H487" s="255" t="e">
        <f t="shared" si="62"/>
        <v>#N/A</v>
      </c>
      <c r="I487" s="257" t="e">
        <f t="shared" si="63"/>
        <v>#N/A</v>
      </c>
    </row>
    <row r="488" spans="1:9" ht="12.75" customHeight="1">
      <c r="A488" s="273"/>
      <c r="B488" s="255" t="e">
        <f t="shared" si="64"/>
        <v>#N/A</v>
      </c>
      <c r="C488" s="255" t="str">
        <f t="shared" si="59"/>
        <v/>
      </c>
      <c r="D488" s="255" t="str">
        <f t="shared" si="60"/>
        <v/>
      </c>
      <c r="E488" s="255" t="str">
        <f t="shared" si="61"/>
        <v/>
      </c>
      <c r="F488" s="255" t="str">
        <f t="shared" si="65"/>
        <v/>
      </c>
      <c r="G488" s="255" t="str">
        <f t="shared" si="66"/>
        <v/>
      </c>
      <c r="H488" s="255" t="e">
        <f t="shared" si="62"/>
        <v>#N/A</v>
      </c>
      <c r="I488" s="257" t="e">
        <f t="shared" si="63"/>
        <v>#N/A</v>
      </c>
    </row>
    <row r="489" spans="1:9" ht="12.75" customHeight="1">
      <c r="A489" s="273"/>
      <c r="B489" s="255" t="e">
        <f t="shared" si="64"/>
        <v>#N/A</v>
      </c>
      <c r="C489" s="255" t="str">
        <f t="shared" si="59"/>
        <v/>
      </c>
      <c r="D489" s="255" t="str">
        <f t="shared" si="60"/>
        <v/>
      </c>
      <c r="E489" s="255" t="str">
        <f t="shared" si="61"/>
        <v/>
      </c>
      <c r="F489" s="255" t="str">
        <f t="shared" si="65"/>
        <v/>
      </c>
      <c r="G489" s="255" t="str">
        <f t="shared" si="66"/>
        <v/>
      </c>
      <c r="H489" s="255" t="e">
        <f t="shared" si="62"/>
        <v>#N/A</v>
      </c>
      <c r="I489" s="257" t="e">
        <f t="shared" si="63"/>
        <v>#N/A</v>
      </c>
    </row>
    <row r="490" spans="1:9" ht="12.75" customHeight="1">
      <c r="A490" s="273"/>
      <c r="B490" s="255" t="e">
        <f t="shared" si="64"/>
        <v>#N/A</v>
      </c>
      <c r="C490" s="255" t="str">
        <f t="shared" si="59"/>
        <v/>
      </c>
      <c r="D490" s="255" t="str">
        <f t="shared" si="60"/>
        <v/>
      </c>
      <c r="E490" s="255" t="str">
        <f t="shared" si="61"/>
        <v/>
      </c>
      <c r="F490" s="255" t="str">
        <f t="shared" si="65"/>
        <v/>
      </c>
      <c r="G490" s="255" t="str">
        <f t="shared" si="66"/>
        <v/>
      </c>
      <c r="H490" s="255" t="e">
        <f t="shared" si="62"/>
        <v>#N/A</v>
      </c>
      <c r="I490" s="257" t="e">
        <f t="shared" si="63"/>
        <v>#N/A</v>
      </c>
    </row>
    <row r="491" spans="1:9" ht="12.75" customHeight="1">
      <c r="A491" s="273"/>
      <c r="B491" s="255" t="e">
        <f t="shared" si="64"/>
        <v>#N/A</v>
      </c>
      <c r="C491" s="255" t="str">
        <f t="shared" si="59"/>
        <v/>
      </c>
      <c r="D491" s="255" t="str">
        <f t="shared" si="60"/>
        <v/>
      </c>
      <c r="E491" s="255" t="str">
        <f t="shared" si="61"/>
        <v/>
      </c>
      <c r="F491" s="255" t="str">
        <f t="shared" si="65"/>
        <v/>
      </c>
      <c r="G491" s="255" t="str">
        <f t="shared" si="66"/>
        <v/>
      </c>
      <c r="H491" s="255" t="e">
        <f t="shared" si="62"/>
        <v>#N/A</v>
      </c>
      <c r="I491" s="257" t="e">
        <f t="shared" si="63"/>
        <v>#N/A</v>
      </c>
    </row>
    <row r="492" spans="1:9" ht="12.75" customHeight="1">
      <c r="A492" s="273"/>
      <c r="B492" s="255" t="e">
        <f t="shared" si="64"/>
        <v>#N/A</v>
      </c>
      <c r="C492" s="255" t="str">
        <f t="shared" si="59"/>
        <v/>
      </c>
      <c r="D492" s="255" t="str">
        <f t="shared" si="60"/>
        <v/>
      </c>
      <c r="E492" s="255" t="str">
        <f t="shared" si="61"/>
        <v/>
      </c>
      <c r="F492" s="255" t="str">
        <f t="shared" si="65"/>
        <v/>
      </c>
      <c r="G492" s="255" t="str">
        <f t="shared" si="66"/>
        <v/>
      </c>
      <c r="H492" s="255" t="e">
        <f t="shared" si="62"/>
        <v>#N/A</v>
      </c>
      <c r="I492" s="257" t="e">
        <f t="shared" si="63"/>
        <v>#N/A</v>
      </c>
    </row>
    <row r="493" spans="1:9" ht="12.75" customHeight="1">
      <c r="A493" s="273"/>
      <c r="B493" s="255" t="e">
        <f t="shared" si="64"/>
        <v>#N/A</v>
      </c>
      <c r="C493" s="255" t="str">
        <f t="shared" si="59"/>
        <v/>
      </c>
      <c r="D493" s="255" t="str">
        <f t="shared" si="60"/>
        <v/>
      </c>
      <c r="E493" s="255" t="str">
        <f t="shared" si="61"/>
        <v/>
      </c>
      <c r="F493" s="255" t="str">
        <f t="shared" si="65"/>
        <v/>
      </c>
      <c r="G493" s="255" t="str">
        <f t="shared" si="66"/>
        <v/>
      </c>
      <c r="H493" s="255" t="e">
        <f t="shared" si="62"/>
        <v>#N/A</v>
      </c>
      <c r="I493" s="257" t="e">
        <f t="shared" si="63"/>
        <v>#N/A</v>
      </c>
    </row>
    <row r="494" spans="1:9" ht="12.75" customHeight="1">
      <c r="A494" s="273"/>
      <c r="B494" s="255" t="e">
        <f t="shared" si="64"/>
        <v>#N/A</v>
      </c>
      <c r="C494" s="255" t="str">
        <f t="shared" si="59"/>
        <v/>
      </c>
      <c r="D494" s="255" t="str">
        <f t="shared" si="60"/>
        <v/>
      </c>
      <c r="E494" s="255" t="str">
        <f t="shared" si="61"/>
        <v/>
      </c>
      <c r="F494" s="255" t="str">
        <f t="shared" si="65"/>
        <v/>
      </c>
      <c r="G494" s="255" t="str">
        <f t="shared" si="66"/>
        <v/>
      </c>
      <c r="H494" s="255" t="e">
        <f t="shared" si="62"/>
        <v>#N/A</v>
      </c>
      <c r="I494" s="257" t="e">
        <f t="shared" si="63"/>
        <v>#N/A</v>
      </c>
    </row>
    <row r="495" spans="1:9" ht="12.75" customHeight="1">
      <c r="A495" s="273"/>
      <c r="B495" s="255" t="e">
        <f t="shared" si="64"/>
        <v>#N/A</v>
      </c>
      <c r="C495" s="255" t="str">
        <f t="shared" si="59"/>
        <v/>
      </c>
      <c r="D495" s="255" t="str">
        <f t="shared" si="60"/>
        <v/>
      </c>
      <c r="E495" s="255" t="str">
        <f t="shared" si="61"/>
        <v/>
      </c>
      <c r="F495" s="255" t="str">
        <f t="shared" si="65"/>
        <v/>
      </c>
      <c r="G495" s="255" t="str">
        <f t="shared" si="66"/>
        <v/>
      </c>
      <c r="H495" s="255" t="e">
        <f t="shared" si="62"/>
        <v>#N/A</v>
      </c>
      <c r="I495" s="257" t="e">
        <f t="shared" si="63"/>
        <v>#N/A</v>
      </c>
    </row>
    <row r="496" spans="1:9" ht="12.75" customHeight="1">
      <c r="A496" s="273"/>
      <c r="B496" s="255" t="e">
        <f t="shared" si="64"/>
        <v>#N/A</v>
      </c>
      <c r="C496" s="255" t="str">
        <f t="shared" si="59"/>
        <v/>
      </c>
      <c r="D496" s="255" t="str">
        <f t="shared" si="60"/>
        <v/>
      </c>
      <c r="E496" s="255" t="str">
        <f t="shared" si="61"/>
        <v/>
      </c>
      <c r="F496" s="255" t="str">
        <f t="shared" si="65"/>
        <v/>
      </c>
      <c r="G496" s="255" t="str">
        <f t="shared" si="66"/>
        <v/>
      </c>
      <c r="H496" s="255" t="e">
        <f t="shared" si="62"/>
        <v>#N/A</v>
      </c>
      <c r="I496" s="257" t="e">
        <f t="shared" si="63"/>
        <v>#N/A</v>
      </c>
    </row>
    <row r="497" spans="1:9" ht="12.75" customHeight="1">
      <c r="A497" s="273"/>
      <c r="B497" s="255" t="e">
        <f t="shared" si="64"/>
        <v>#N/A</v>
      </c>
      <c r="C497" s="255" t="str">
        <f t="shared" si="59"/>
        <v/>
      </c>
      <c r="D497" s="255" t="str">
        <f t="shared" si="60"/>
        <v/>
      </c>
      <c r="E497" s="255" t="str">
        <f t="shared" si="61"/>
        <v/>
      </c>
      <c r="F497" s="255" t="str">
        <f t="shared" si="65"/>
        <v/>
      </c>
      <c r="G497" s="255" t="str">
        <f t="shared" si="66"/>
        <v/>
      </c>
      <c r="H497" s="255" t="e">
        <f t="shared" si="62"/>
        <v>#N/A</v>
      </c>
      <c r="I497" s="257" t="e">
        <f t="shared" si="63"/>
        <v>#N/A</v>
      </c>
    </row>
    <row r="498" spans="1:9" ht="12.75" customHeight="1">
      <c r="A498" s="273"/>
      <c r="B498" s="255" t="e">
        <f t="shared" si="64"/>
        <v>#N/A</v>
      </c>
      <c r="C498" s="255" t="str">
        <f t="shared" si="59"/>
        <v/>
      </c>
      <c r="D498" s="255" t="str">
        <f t="shared" si="60"/>
        <v/>
      </c>
      <c r="E498" s="255" t="str">
        <f t="shared" si="61"/>
        <v/>
      </c>
      <c r="F498" s="255" t="str">
        <f t="shared" si="65"/>
        <v/>
      </c>
      <c r="G498" s="255" t="str">
        <f t="shared" si="66"/>
        <v/>
      </c>
      <c r="H498" s="255" t="e">
        <f t="shared" si="62"/>
        <v>#N/A</v>
      </c>
      <c r="I498" s="257" t="e">
        <f t="shared" si="63"/>
        <v>#N/A</v>
      </c>
    </row>
    <row r="499" spans="1:9" ht="12.75" customHeight="1">
      <c r="A499" s="273"/>
      <c r="B499" s="255" t="e">
        <f t="shared" si="64"/>
        <v>#N/A</v>
      </c>
      <c r="C499" s="255" t="str">
        <f t="shared" si="59"/>
        <v/>
      </c>
      <c r="D499" s="255" t="str">
        <f t="shared" si="60"/>
        <v/>
      </c>
      <c r="E499" s="255" t="str">
        <f t="shared" si="61"/>
        <v/>
      </c>
      <c r="F499" s="255" t="str">
        <f t="shared" si="65"/>
        <v/>
      </c>
      <c r="G499" s="255" t="str">
        <f t="shared" si="66"/>
        <v/>
      </c>
      <c r="H499" s="255" t="e">
        <f t="shared" si="62"/>
        <v>#N/A</v>
      </c>
      <c r="I499" s="257" t="e">
        <f t="shared" si="63"/>
        <v>#N/A</v>
      </c>
    </row>
    <row r="500" spans="1:9" ht="12.75" customHeight="1">
      <c r="A500" s="273"/>
      <c r="B500" s="255" t="e">
        <f t="shared" si="64"/>
        <v>#N/A</v>
      </c>
      <c r="C500" s="255" t="str">
        <f t="shared" si="59"/>
        <v/>
      </c>
      <c r="D500" s="255" t="str">
        <f t="shared" si="60"/>
        <v/>
      </c>
      <c r="E500" s="255" t="str">
        <f t="shared" si="61"/>
        <v/>
      </c>
      <c r="F500" s="255" t="str">
        <f t="shared" si="65"/>
        <v/>
      </c>
      <c r="G500" s="255" t="str">
        <f t="shared" si="66"/>
        <v/>
      </c>
      <c r="H500" s="255" t="e">
        <f t="shared" si="62"/>
        <v>#N/A</v>
      </c>
      <c r="I500" s="257" t="e">
        <f t="shared" si="63"/>
        <v>#N/A</v>
      </c>
    </row>
    <row r="501" spans="1:9" ht="12.75" customHeight="1">
      <c r="A501" s="273"/>
      <c r="B501" s="255" t="e">
        <f t="shared" si="64"/>
        <v>#N/A</v>
      </c>
      <c r="C501" s="255" t="str">
        <f t="shared" si="59"/>
        <v/>
      </c>
      <c r="D501" s="255" t="str">
        <f t="shared" si="60"/>
        <v/>
      </c>
      <c r="E501" s="255" t="str">
        <f t="shared" si="61"/>
        <v/>
      </c>
      <c r="F501" s="255" t="str">
        <f t="shared" si="65"/>
        <v/>
      </c>
      <c r="G501" s="255" t="str">
        <f t="shared" si="66"/>
        <v/>
      </c>
      <c r="H501" s="255" t="e">
        <f t="shared" si="62"/>
        <v>#N/A</v>
      </c>
      <c r="I501" s="257" t="e">
        <f t="shared" si="63"/>
        <v>#N/A</v>
      </c>
    </row>
    <row r="502" spans="1:9" ht="12.75" customHeight="1">
      <c r="A502" s="273"/>
      <c r="B502" s="255" t="e">
        <f t="shared" si="64"/>
        <v>#N/A</v>
      </c>
      <c r="C502" s="255" t="str">
        <f t="shared" si="59"/>
        <v/>
      </c>
      <c r="D502" s="255" t="str">
        <f t="shared" si="60"/>
        <v/>
      </c>
      <c r="E502" s="255" t="str">
        <f t="shared" si="61"/>
        <v/>
      </c>
      <c r="F502" s="255" t="str">
        <f t="shared" si="65"/>
        <v/>
      </c>
      <c r="G502" s="255" t="str">
        <f t="shared" si="66"/>
        <v/>
      </c>
      <c r="H502" s="255" t="e">
        <f t="shared" si="62"/>
        <v>#N/A</v>
      </c>
      <c r="I502" s="257" t="e">
        <f t="shared" si="63"/>
        <v>#N/A</v>
      </c>
    </row>
    <row r="503" spans="1:9" ht="12.75" customHeight="1">
      <c r="A503" s="273"/>
      <c r="B503" s="255" t="e">
        <f t="shared" si="64"/>
        <v>#N/A</v>
      </c>
      <c r="C503" s="255" t="str">
        <f t="shared" si="59"/>
        <v/>
      </c>
      <c r="D503" s="255" t="str">
        <f t="shared" si="60"/>
        <v/>
      </c>
      <c r="E503" s="255" t="str">
        <f t="shared" si="61"/>
        <v/>
      </c>
      <c r="F503" s="255" t="str">
        <f t="shared" si="65"/>
        <v/>
      </c>
      <c r="G503" s="255" t="str">
        <f t="shared" si="66"/>
        <v/>
      </c>
      <c r="H503" s="255" t="e">
        <f t="shared" si="62"/>
        <v>#N/A</v>
      </c>
      <c r="I503" s="257" t="e">
        <f t="shared" si="63"/>
        <v>#N/A</v>
      </c>
    </row>
    <row r="504" spans="1:9" ht="12.75" customHeight="1">
      <c r="A504" s="273"/>
      <c r="B504" s="255" t="e">
        <f t="shared" si="64"/>
        <v>#N/A</v>
      </c>
      <c r="C504" s="255" t="str">
        <f t="shared" si="59"/>
        <v/>
      </c>
      <c r="D504" s="255" t="str">
        <f t="shared" si="60"/>
        <v/>
      </c>
      <c r="E504" s="255" t="str">
        <f t="shared" si="61"/>
        <v/>
      </c>
      <c r="F504" s="255" t="str">
        <f t="shared" si="65"/>
        <v/>
      </c>
      <c r="G504" s="255" t="str">
        <f t="shared" si="66"/>
        <v/>
      </c>
      <c r="H504" s="255" t="e">
        <f t="shared" si="62"/>
        <v>#N/A</v>
      </c>
      <c r="I504" s="257" t="e">
        <f t="shared" si="63"/>
        <v>#N/A</v>
      </c>
    </row>
    <row r="505" spans="1:9" ht="12.75" customHeight="1">
      <c r="A505" s="273"/>
      <c r="B505" s="255" t="e">
        <f t="shared" si="64"/>
        <v>#N/A</v>
      </c>
      <c r="C505" s="255" t="str">
        <f t="shared" si="59"/>
        <v/>
      </c>
      <c r="D505" s="255" t="str">
        <f t="shared" si="60"/>
        <v/>
      </c>
      <c r="E505" s="255" t="str">
        <f t="shared" si="61"/>
        <v/>
      </c>
      <c r="F505" s="255" t="str">
        <f t="shared" si="65"/>
        <v/>
      </c>
      <c r="G505" s="255" t="str">
        <f t="shared" si="66"/>
        <v/>
      </c>
      <c r="H505" s="255" t="e">
        <f t="shared" si="62"/>
        <v>#N/A</v>
      </c>
      <c r="I505" s="257" t="e">
        <f t="shared" si="63"/>
        <v>#N/A</v>
      </c>
    </row>
    <row r="506" spans="1:9" ht="12.75" customHeight="1">
      <c r="A506" s="273"/>
      <c r="B506" s="255" t="e">
        <f t="shared" si="64"/>
        <v>#N/A</v>
      </c>
      <c r="C506" s="255" t="str">
        <f t="shared" si="59"/>
        <v/>
      </c>
      <c r="D506" s="255" t="str">
        <f t="shared" si="60"/>
        <v/>
      </c>
      <c r="E506" s="255" t="str">
        <f t="shared" si="61"/>
        <v/>
      </c>
      <c r="F506" s="255" t="str">
        <f t="shared" si="65"/>
        <v/>
      </c>
      <c r="G506" s="255" t="str">
        <f t="shared" si="66"/>
        <v/>
      </c>
      <c r="H506" s="255" t="e">
        <f t="shared" si="62"/>
        <v>#N/A</v>
      </c>
      <c r="I506" s="257" t="e">
        <f t="shared" si="63"/>
        <v>#N/A</v>
      </c>
    </row>
    <row r="507" spans="1:9" ht="12.75" customHeight="1">
      <c r="A507" s="273"/>
      <c r="B507" s="255" t="e">
        <f t="shared" si="64"/>
        <v>#N/A</v>
      </c>
      <c r="C507" s="255" t="str">
        <f t="shared" si="59"/>
        <v/>
      </c>
      <c r="D507" s="255" t="str">
        <f t="shared" si="60"/>
        <v/>
      </c>
      <c r="E507" s="255" t="str">
        <f t="shared" si="61"/>
        <v/>
      </c>
      <c r="F507" s="255" t="str">
        <f t="shared" si="65"/>
        <v/>
      </c>
      <c r="G507" s="255" t="str">
        <f t="shared" si="66"/>
        <v/>
      </c>
      <c r="H507" s="255" t="e">
        <f t="shared" si="62"/>
        <v>#N/A</v>
      </c>
      <c r="I507" s="257" t="e">
        <f t="shared" si="63"/>
        <v>#N/A</v>
      </c>
    </row>
    <row r="508" spans="1:9" ht="12.75" customHeight="1">
      <c r="A508" s="273"/>
      <c r="B508" s="255" t="e">
        <f t="shared" si="64"/>
        <v>#N/A</v>
      </c>
      <c r="C508" s="255" t="str">
        <f t="shared" si="59"/>
        <v/>
      </c>
      <c r="D508" s="255" t="str">
        <f t="shared" si="60"/>
        <v/>
      </c>
      <c r="E508" s="255" t="str">
        <f t="shared" si="61"/>
        <v/>
      </c>
      <c r="F508" s="255" t="str">
        <f t="shared" si="65"/>
        <v/>
      </c>
      <c r="G508" s="255" t="str">
        <f t="shared" si="66"/>
        <v/>
      </c>
      <c r="H508" s="255" t="e">
        <f t="shared" si="62"/>
        <v>#N/A</v>
      </c>
      <c r="I508" s="257" t="e">
        <f t="shared" si="63"/>
        <v>#N/A</v>
      </c>
    </row>
    <row r="509" spans="1:9" ht="12.75" customHeight="1">
      <c r="A509" s="273"/>
      <c r="B509" s="255" t="e">
        <f t="shared" si="64"/>
        <v>#N/A</v>
      </c>
      <c r="C509" s="255" t="str">
        <f t="shared" si="59"/>
        <v/>
      </c>
      <c r="D509" s="255" t="str">
        <f t="shared" si="60"/>
        <v/>
      </c>
      <c r="E509" s="255" t="str">
        <f t="shared" si="61"/>
        <v/>
      </c>
      <c r="F509" s="255" t="str">
        <f t="shared" si="65"/>
        <v/>
      </c>
      <c r="G509" s="255" t="str">
        <f t="shared" si="66"/>
        <v/>
      </c>
      <c r="H509" s="255" t="e">
        <f t="shared" si="62"/>
        <v>#N/A</v>
      </c>
      <c r="I509" s="257" t="e">
        <f t="shared" si="63"/>
        <v>#N/A</v>
      </c>
    </row>
    <row r="510" spans="1:9" ht="12.75" customHeight="1">
      <c r="A510" s="273"/>
      <c r="B510" s="255" t="e">
        <f t="shared" si="64"/>
        <v>#N/A</v>
      </c>
      <c r="C510" s="255" t="str">
        <f t="shared" si="59"/>
        <v/>
      </c>
      <c r="D510" s="255" t="str">
        <f t="shared" si="60"/>
        <v/>
      </c>
      <c r="E510" s="255" t="str">
        <f t="shared" si="61"/>
        <v/>
      </c>
      <c r="F510" s="255" t="str">
        <f t="shared" si="65"/>
        <v/>
      </c>
      <c r="G510" s="255" t="str">
        <f t="shared" si="66"/>
        <v/>
      </c>
      <c r="H510" s="255" t="e">
        <f t="shared" si="62"/>
        <v>#N/A</v>
      </c>
      <c r="I510" s="257" t="e">
        <f t="shared" si="63"/>
        <v>#N/A</v>
      </c>
    </row>
    <row r="511" spans="1:9" ht="12.75" customHeight="1">
      <c r="A511" s="273"/>
      <c r="B511" s="255" t="e">
        <f t="shared" si="64"/>
        <v>#N/A</v>
      </c>
      <c r="C511" s="255" t="str">
        <f t="shared" si="59"/>
        <v/>
      </c>
      <c r="D511" s="255" t="str">
        <f t="shared" si="60"/>
        <v/>
      </c>
      <c r="E511" s="255" t="str">
        <f t="shared" si="61"/>
        <v/>
      </c>
      <c r="F511" s="255" t="str">
        <f t="shared" si="65"/>
        <v/>
      </c>
      <c r="G511" s="255" t="str">
        <f t="shared" si="66"/>
        <v/>
      </c>
      <c r="H511" s="255" t="e">
        <f t="shared" si="62"/>
        <v>#N/A</v>
      </c>
      <c r="I511" s="257" t="e">
        <f t="shared" si="63"/>
        <v>#N/A</v>
      </c>
    </row>
    <row r="512" spans="1:9" ht="12.75" customHeight="1">
      <c r="A512" s="273"/>
      <c r="B512" s="255" t="e">
        <f t="shared" si="64"/>
        <v>#N/A</v>
      </c>
      <c r="C512" s="255" t="str">
        <f t="shared" si="59"/>
        <v/>
      </c>
      <c r="D512" s="255" t="str">
        <f t="shared" si="60"/>
        <v/>
      </c>
      <c r="E512" s="255" t="str">
        <f t="shared" si="61"/>
        <v/>
      </c>
      <c r="F512" s="255" t="str">
        <f t="shared" si="65"/>
        <v/>
      </c>
      <c r="G512" s="255" t="str">
        <f t="shared" si="66"/>
        <v/>
      </c>
      <c r="H512" s="255" t="e">
        <f t="shared" si="62"/>
        <v>#N/A</v>
      </c>
      <c r="I512" s="257" t="e">
        <f t="shared" si="63"/>
        <v>#N/A</v>
      </c>
    </row>
    <row r="513" spans="1:9" ht="12.75" customHeight="1">
      <c r="A513" s="273"/>
      <c r="B513" s="255" t="e">
        <f t="shared" si="64"/>
        <v>#N/A</v>
      </c>
      <c r="C513" s="255" t="str">
        <f t="shared" si="59"/>
        <v/>
      </c>
      <c r="D513" s="255" t="str">
        <f t="shared" si="60"/>
        <v/>
      </c>
      <c r="E513" s="255" t="str">
        <f t="shared" si="61"/>
        <v/>
      </c>
      <c r="F513" s="255" t="str">
        <f t="shared" si="65"/>
        <v/>
      </c>
      <c r="G513" s="255" t="str">
        <f t="shared" si="66"/>
        <v/>
      </c>
      <c r="H513" s="255" t="e">
        <f t="shared" si="62"/>
        <v>#N/A</v>
      </c>
      <c r="I513" s="257" t="e">
        <f t="shared" si="63"/>
        <v>#N/A</v>
      </c>
    </row>
    <row r="514" spans="1:9" ht="12.75" customHeight="1">
      <c r="A514" s="273"/>
      <c r="B514" s="255" t="e">
        <f t="shared" si="64"/>
        <v>#N/A</v>
      </c>
      <c r="C514" s="255" t="str">
        <f t="shared" si="59"/>
        <v/>
      </c>
      <c r="D514" s="255" t="str">
        <f t="shared" si="60"/>
        <v/>
      </c>
      <c r="E514" s="255" t="str">
        <f t="shared" si="61"/>
        <v/>
      </c>
      <c r="F514" s="255" t="str">
        <f t="shared" si="65"/>
        <v/>
      </c>
      <c r="G514" s="255" t="str">
        <f t="shared" si="66"/>
        <v/>
      </c>
      <c r="H514" s="255" t="e">
        <f t="shared" si="62"/>
        <v>#N/A</v>
      </c>
      <c r="I514" s="257" t="e">
        <f t="shared" si="63"/>
        <v>#N/A</v>
      </c>
    </row>
    <row r="515" spans="1:9" ht="12.75" customHeight="1">
      <c r="A515" s="273"/>
      <c r="B515" s="255" t="e">
        <f t="shared" si="64"/>
        <v>#N/A</v>
      </c>
      <c r="C515" s="255" t="str">
        <f t="shared" si="59"/>
        <v/>
      </c>
      <c r="D515" s="255" t="str">
        <f t="shared" si="60"/>
        <v/>
      </c>
      <c r="E515" s="255" t="str">
        <f t="shared" si="61"/>
        <v/>
      </c>
      <c r="F515" s="255" t="str">
        <f t="shared" si="65"/>
        <v/>
      </c>
      <c r="G515" s="255" t="str">
        <f t="shared" si="66"/>
        <v/>
      </c>
      <c r="H515" s="255" t="e">
        <f t="shared" si="62"/>
        <v>#N/A</v>
      </c>
      <c r="I515" s="257" t="e">
        <f t="shared" si="63"/>
        <v>#N/A</v>
      </c>
    </row>
    <row r="516" spans="1:9" ht="12.75" customHeight="1">
      <c r="A516" s="273"/>
      <c r="B516" s="255" t="e">
        <f t="shared" si="64"/>
        <v>#N/A</v>
      </c>
      <c r="C516" s="255" t="str">
        <f t="shared" si="59"/>
        <v/>
      </c>
      <c r="D516" s="255" t="str">
        <f t="shared" si="60"/>
        <v/>
      </c>
      <c r="E516" s="255" t="str">
        <f t="shared" si="61"/>
        <v/>
      </c>
      <c r="F516" s="255" t="str">
        <f t="shared" si="65"/>
        <v/>
      </c>
      <c r="G516" s="255" t="str">
        <f t="shared" si="66"/>
        <v/>
      </c>
      <c r="H516" s="255" t="e">
        <f t="shared" si="62"/>
        <v>#N/A</v>
      </c>
      <c r="I516" s="257" t="e">
        <f t="shared" si="63"/>
        <v>#N/A</v>
      </c>
    </row>
    <row r="517" spans="1:9" ht="12.75" customHeight="1">
      <c r="A517" s="273"/>
      <c r="B517" s="255" t="e">
        <f t="shared" si="64"/>
        <v>#N/A</v>
      </c>
      <c r="C517" s="255" t="str">
        <f t="shared" ref="C517:C533" si="67">IF(ISBLANK(A517),"",C516+1)</f>
        <v/>
      </c>
      <c r="D517" s="255" t="str">
        <f t="shared" ref="D517:D533" si="68">IF(ISBLANK(A517),"",NORMSDIST((B517-$B$24)/$B$25))</f>
        <v/>
      </c>
      <c r="E517" s="255" t="str">
        <f t="shared" ref="E517:E533" si="69">IF(ISBLANK(A517),"",1-D517)</f>
        <v/>
      </c>
      <c r="F517" s="255" t="str">
        <f t="shared" si="65"/>
        <v/>
      </c>
      <c r="G517" s="255" t="str">
        <f t="shared" si="66"/>
        <v/>
      </c>
      <c r="H517" s="255" t="e">
        <f t="shared" ref="H517:H533" si="70">IF(A517="",NA(),NORMINV((C517-3/8)/($B$23+1/4),$B$24,$B$25))</f>
        <v>#N/A</v>
      </c>
      <c r="I517" s="257" t="e">
        <f t="shared" ref="I517:I533" si="71">IF(B517="",NA(),(C517-3/8)/($B$23+1/4))</f>
        <v>#N/A</v>
      </c>
    </row>
    <row r="518" spans="1:9" ht="12.75" customHeight="1">
      <c r="A518" s="273"/>
      <c r="B518" s="255" t="e">
        <f t="shared" si="64"/>
        <v>#N/A</v>
      </c>
      <c r="C518" s="255" t="str">
        <f t="shared" si="67"/>
        <v/>
      </c>
      <c r="D518" s="255" t="str">
        <f t="shared" si="68"/>
        <v/>
      </c>
      <c r="E518" s="255" t="str">
        <f t="shared" si="69"/>
        <v/>
      </c>
      <c r="F518" s="255" t="str">
        <f t="shared" si="65"/>
        <v/>
      </c>
      <c r="G518" s="255" t="str">
        <f t="shared" si="66"/>
        <v/>
      </c>
      <c r="H518" s="255" t="e">
        <f t="shared" si="70"/>
        <v>#N/A</v>
      </c>
      <c r="I518" s="257" t="e">
        <f t="shared" si="71"/>
        <v>#N/A</v>
      </c>
    </row>
    <row r="519" spans="1:9" ht="12.75" customHeight="1">
      <c r="A519" s="273"/>
      <c r="B519" s="255" t="e">
        <f t="shared" si="64"/>
        <v>#N/A</v>
      </c>
      <c r="C519" s="255" t="str">
        <f t="shared" si="67"/>
        <v/>
      </c>
      <c r="D519" s="255" t="str">
        <f t="shared" si="68"/>
        <v/>
      </c>
      <c r="E519" s="255" t="str">
        <f t="shared" si="69"/>
        <v/>
      </c>
      <c r="F519" s="255" t="str">
        <f t="shared" si="65"/>
        <v/>
      </c>
      <c r="G519" s="255" t="str">
        <f t="shared" si="66"/>
        <v/>
      </c>
      <c r="H519" s="255" t="e">
        <f t="shared" si="70"/>
        <v>#N/A</v>
      </c>
      <c r="I519" s="257" t="e">
        <f t="shared" si="71"/>
        <v>#N/A</v>
      </c>
    </row>
    <row r="520" spans="1:9" ht="12.75" customHeight="1">
      <c r="A520" s="273"/>
      <c r="B520" s="255" t="e">
        <f t="shared" si="64"/>
        <v>#N/A</v>
      </c>
      <c r="C520" s="255" t="str">
        <f t="shared" si="67"/>
        <v/>
      </c>
      <c r="D520" s="255" t="str">
        <f t="shared" si="68"/>
        <v/>
      </c>
      <c r="E520" s="255" t="str">
        <f t="shared" si="69"/>
        <v/>
      </c>
      <c r="F520" s="255" t="str">
        <f t="shared" si="65"/>
        <v/>
      </c>
      <c r="G520" s="255" t="str">
        <f t="shared" si="66"/>
        <v/>
      </c>
      <c r="H520" s="255" t="e">
        <f t="shared" si="70"/>
        <v>#N/A</v>
      </c>
      <c r="I520" s="257" t="e">
        <f t="shared" si="71"/>
        <v>#N/A</v>
      </c>
    </row>
    <row r="521" spans="1:9" ht="12.75" customHeight="1">
      <c r="A521" s="273"/>
      <c r="B521" s="255" t="e">
        <f t="shared" si="64"/>
        <v>#N/A</v>
      </c>
      <c r="C521" s="255" t="str">
        <f t="shared" si="67"/>
        <v/>
      </c>
      <c r="D521" s="255" t="str">
        <f t="shared" si="68"/>
        <v/>
      </c>
      <c r="E521" s="255" t="str">
        <f t="shared" si="69"/>
        <v/>
      </c>
      <c r="F521" s="255" t="str">
        <f t="shared" si="65"/>
        <v/>
      </c>
      <c r="G521" s="255" t="str">
        <f t="shared" si="66"/>
        <v/>
      </c>
      <c r="H521" s="255" t="e">
        <f t="shared" si="70"/>
        <v>#N/A</v>
      </c>
      <c r="I521" s="257" t="e">
        <f t="shared" si="71"/>
        <v>#N/A</v>
      </c>
    </row>
    <row r="522" spans="1:9" ht="12.75" customHeight="1">
      <c r="A522" s="273"/>
      <c r="B522" s="255" t="e">
        <f t="shared" si="64"/>
        <v>#N/A</v>
      </c>
      <c r="C522" s="255" t="str">
        <f t="shared" si="67"/>
        <v/>
      </c>
      <c r="D522" s="255" t="str">
        <f t="shared" si="68"/>
        <v/>
      </c>
      <c r="E522" s="255" t="str">
        <f t="shared" si="69"/>
        <v/>
      </c>
      <c r="F522" s="255" t="str">
        <f t="shared" si="65"/>
        <v/>
      </c>
      <c r="G522" s="255" t="str">
        <f t="shared" si="66"/>
        <v/>
      </c>
      <c r="H522" s="255" t="e">
        <f t="shared" si="70"/>
        <v>#N/A</v>
      </c>
      <c r="I522" s="257" t="e">
        <f t="shared" si="71"/>
        <v>#N/A</v>
      </c>
    </row>
    <row r="523" spans="1:9" ht="12.75" customHeight="1">
      <c r="A523" s="273"/>
      <c r="B523" s="255" t="e">
        <f t="shared" si="64"/>
        <v>#N/A</v>
      </c>
      <c r="C523" s="255" t="str">
        <f t="shared" si="67"/>
        <v/>
      </c>
      <c r="D523" s="255" t="str">
        <f t="shared" si="68"/>
        <v/>
      </c>
      <c r="E523" s="255" t="str">
        <f t="shared" si="69"/>
        <v/>
      </c>
      <c r="F523" s="255" t="str">
        <f t="shared" si="65"/>
        <v/>
      </c>
      <c r="G523" s="255" t="str">
        <f t="shared" si="66"/>
        <v/>
      </c>
      <c r="H523" s="255" t="e">
        <f t="shared" si="70"/>
        <v>#N/A</v>
      </c>
      <c r="I523" s="257" t="e">
        <f t="shared" si="71"/>
        <v>#N/A</v>
      </c>
    </row>
    <row r="524" spans="1:9" ht="12.75" customHeight="1">
      <c r="A524" s="273"/>
      <c r="B524" s="255" t="e">
        <f t="shared" si="64"/>
        <v>#N/A</v>
      </c>
      <c r="C524" s="255" t="str">
        <f t="shared" si="67"/>
        <v/>
      </c>
      <c r="D524" s="255" t="str">
        <f t="shared" si="68"/>
        <v/>
      </c>
      <c r="E524" s="255" t="str">
        <f t="shared" si="69"/>
        <v/>
      </c>
      <c r="F524" s="255" t="str">
        <f t="shared" si="65"/>
        <v/>
      </c>
      <c r="G524" s="255" t="str">
        <f t="shared" si="66"/>
        <v/>
      </c>
      <c r="H524" s="255" t="e">
        <f t="shared" si="70"/>
        <v>#N/A</v>
      </c>
      <c r="I524" s="257" t="e">
        <f t="shared" si="71"/>
        <v>#N/A</v>
      </c>
    </row>
    <row r="525" spans="1:9" ht="12.75" customHeight="1">
      <c r="A525" s="273"/>
      <c r="B525" s="255" t="e">
        <f t="shared" si="64"/>
        <v>#N/A</v>
      </c>
      <c r="C525" s="255" t="str">
        <f t="shared" si="67"/>
        <v/>
      </c>
      <c r="D525" s="255" t="str">
        <f t="shared" si="68"/>
        <v/>
      </c>
      <c r="E525" s="255" t="str">
        <f t="shared" si="69"/>
        <v/>
      </c>
      <c r="F525" s="255" t="str">
        <f t="shared" si="65"/>
        <v/>
      </c>
      <c r="G525" s="255" t="str">
        <f t="shared" si="66"/>
        <v/>
      </c>
      <c r="H525" s="255" t="e">
        <f t="shared" si="70"/>
        <v>#N/A</v>
      </c>
      <c r="I525" s="257" t="e">
        <f t="shared" si="71"/>
        <v>#N/A</v>
      </c>
    </row>
    <row r="526" spans="1:9" ht="12.75" customHeight="1">
      <c r="A526" s="273"/>
      <c r="B526" s="255" t="e">
        <f t="shared" si="64"/>
        <v>#N/A</v>
      </c>
      <c r="C526" s="255" t="str">
        <f t="shared" si="67"/>
        <v/>
      </c>
      <c r="D526" s="255" t="str">
        <f t="shared" si="68"/>
        <v/>
      </c>
      <c r="E526" s="255" t="str">
        <f t="shared" si="69"/>
        <v/>
      </c>
      <c r="F526" s="255" t="str">
        <f t="shared" si="65"/>
        <v/>
      </c>
      <c r="G526" s="255" t="str">
        <f t="shared" si="66"/>
        <v/>
      </c>
      <c r="H526" s="255" t="e">
        <f t="shared" si="70"/>
        <v>#N/A</v>
      </c>
      <c r="I526" s="257" t="e">
        <f t="shared" si="71"/>
        <v>#N/A</v>
      </c>
    </row>
    <row r="527" spans="1:9" ht="12.75" customHeight="1">
      <c r="A527" s="273"/>
      <c r="B527" s="255" t="e">
        <f t="shared" si="64"/>
        <v>#N/A</v>
      </c>
      <c r="C527" s="255" t="str">
        <f t="shared" si="67"/>
        <v/>
      </c>
      <c r="D527" s="255" t="str">
        <f t="shared" si="68"/>
        <v/>
      </c>
      <c r="E527" s="255" t="str">
        <f t="shared" si="69"/>
        <v/>
      </c>
      <c r="F527" s="255" t="str">
        <f t="shared" si="65"/>
        <v/>
      </c>
      <c r="G527" s="255" t="str">
        <f t="shared" si="66"/>
        <v/>
      </c>
      <c r="H527" s="255" t="e">
        <f t="shared" si="70"/>
        <v>#N/A</v>
      </c>
      <c r="I527" s="257" t="e">
        <f t="shared" si="71"/>
        <v>#N/A</v>
      </c>
    </row>
    <row r="528" spans="1:9" ht="12.75" customHeight="1">
      <c r="A528" s="273"/>
      <c r="B528" s="255" t="e">
        <f t="shared" si="64"/>
        <v>#N/A</v>
      </c>
      <c r="C528" s="255" t="str">
        <f t="shared" si="67"/>
        <v/>
      </c>
      <c r="D528" s="255" t="str">
        <f t="shared" si="68"/>
        <v/>
      </c>
      <c r="E528" s="255" t="str">
        <f t="shared" si="69"/>
        <v/>
      </c>
      <c r="F528" s="255" t="str">
        <f t="shared" si="65"/>
        <v/>
      </c>
      <c r="G528" s="255" t="str">
        <f t="shared" si="66"/>
        <v/>
      </c>
      <c r="H528" s="255" t="e">
        <f t="shared" si="70"/>
        <v>#N/A</v>
      </c>
      <c r="I528" s="257" t="e">
        <f t="shared" si="71"/>
        <v>#N/A</v>
      </c>
    </row>
    <row r="529" spans="1:9" ht="12.75" customHeight="1">
      <c r="A529" s="273"/>
      <c r="B529" s="255" t="e">
        <f t="shared" si="64"/>
        <v>#N/A</v>
      </c>
      <c r="C529" s="255" t="str">
        <f t="shared" si="67"/>
        <v/>
      </c>
      <c r="D529" s="255" t="str">
        <f t="shared" si="68"/>
        <v/>
      </c>
      <c r="E529" s="255" t="str">
        <f t="shared" si="69"/>
        <v/>
      </c>
      <c r="F529" s="255" t="str">
        <f t="shared" si="65"/>
        <v/>
      </c>
      <c r="G529" s="255" t="str">
        <f t="shared" si="66"/>
        <v/>
      </c>
      <c r="H529" s="255" t="e">
        <f t="shared" si="70"/>
        <v>#N/A</v>
      </c>
      <c r="I529" s="257" t="e">
        <f t="shared" si="71"/>
        <v>#N/A</v>
      </c>
    </row>
    <row r="530" spans="1:9" ht="12.75" customHeight="1">
      <c r="A530" s="273"/>
      <c r="B530" s="255" t="e">
        <f t="shared" si="64"/>
        <v>#N/A</v>
      </c>
      <c r="C530" s="255" t="str">
        <f t="shared" si="67"/>
        <v/>
      </c>
      <c r="D530" s="255" t="str">
        <f t="shared" si="68"/>
        <v/>
      </c>
      <c r="E530" s="255" t="str">
        <f t="shared" si="69"/>
        <v/>
      </c>
      <c r="F530" s="255" t="str">
        <f t="shared" si="65"/>
        <v/>
      </c>
      <c r="G530" s="255" t="str">
        <f t="shared" si="66"/>
        <v/>
      </c>
      <c r="H530" s="255" t="e">
        <f t="shared" si="70"/>
        <v>#N/A</v>
      </c>
      <c r="I530" s="257" t="e">
        <f t="shared" si="71"/>
        <v>#N/A</v>
      </c>
    </row>
    <row r="531" spans="1:9" ht="12.75" customHeight="1">
      <c r="A531" s="273"/>
      <c r="B531" s="255" t="e">
        <f t="shared" si="64"/>
        <v>#N/A</v>
      </c>
      <c r="C531" s="255" t="str">
        <f t="shared" si="67"/>
        <v/>
      </c>
      <c r="D531" s="255" t="str">
        <f t="shared" si="68"/>
        <v/>
      </c>
      <c r="E531" s="255" t="str">
        <f t="shared" si="69"/>
        <v/>
      </c>
      <c r="F531" s="255" t="str">
        <f t="shared" si="65"/>
        <v/>
      </c>
      <c r="G531" s="255" t="str">
        <f t="shared" si="66"/>
        <v/>
      </c>
      <c r="H531" s="255" t="e">
        <f t="shared" si="70"/>
        <v>#N/A</v>
      </c>
      <c r="I531" s="257" t="e">
        <f t="shared" si="71"/>
        <v>#N/A</v>
      </c>
    </row>
    <row r="532" spans="1:9" ht="12.75" customHeight="1">
      <c r="A532" s="273"/>
      <c r="B532" s="255" t="e">
        <f t="shared" si="64"/>
        <v>#N/A</v>
      </c>
      <c r="C532" s="255" t="str">
        <f t="shared" si="67"/>
        <v/>
      </c>
      <c r="D532" s="255" t="str">
        <f t="shared" si="68"/>
        <v/>
      </c>
      <c r="E532" s="255" t="str">
        <f t="shared" si="69"/>
        <v/>
      </c>
      <c r="F532" s="255" t="str">
        <f t="shared" si="65"/>
        <v/>
      </c>
      <c r="G532" s="255" t="str">
        <f t="shared" si="66"/>
        <v/>
      </c>
      <c r="H532" s="255" t="e">
        <f t="shared" si="70"/>
        <v>#N/A</v>
      </c>
      <c r="I532" s="257" t="e">
        <f t="shared" si="71"/>
        <v>#N/A</v>
      </c>
    </row>
    <row r="533" spans="1:9" ht="12.75" customHeight="1">
      <c r="A533" s="273"/>
      <c r="B533" s="255" t="e">
        <f t="shared" si="64"/>
        <v>#N/A</v>
      </c>
      <c r="C533" s="255" t="str">
        <f t="shared" si="67"/>
        <v/>
      </c>
      <c r="D533" s="255" t="str">
        <f t="shared" si="68"/>
        <v/>
      </c>
      <c r="E533" s="255" t="str">
        <f t="shared" si="69"/>
        <v/>
      </c>
      <c r="F533" s="255" t="str">
        <f t="shared" si="65"/>
        <v/>
      </c>
      <c r="G533" s="255" t="str">
        <f t="shared" si="66"/>
        <v/>
      </c>
      <c r="H533" s="255" t="e">
        <f t="shared" si="70"/>
        <v>#N/A</v>
      </c>
      <c r="I533" s="257" t="e">
        <f t="shared" si="71"/>
        <v>#N/A</v>
      </c>
    </row>
    <row r="534" spans="1:9" s="276" customFormat="1" ht="12.75" customHeight="1">
      <c r="A534" s="274"/>
      <c r="B534" s="275" t="str">
        <f>IF(ISBLANK(A534),"END","Not the last one anymore. Copy the cell above down to your last data point. Then Repaste.")</f>
        <v>END</v>
      </c>
    </row>
  </sheetData>
  <mergeCells count="2">
    <mergeCell ref="N11:Q11"/>
    <mergeCell ref="F25:G25"/>
  </mergeCells>
  <conditionalFormatting sqref="B34:B533 H34:I533">
    <cfRule type="expression" dxfId="7" priority="2" stopIfTrue="1">
      <formula>ISERROR(B34)</formula>
    </cfRule>
  </conditionalFormatting>
  <dataValidations count="3">
    <dataValidation type="custom" allowBlank="1" showInputMessage="1" showErrorMessage="1" errorTitle="Error" error="Don't enter numbers above the yellow in column A." sqref="A6:A33 IW6:IW33 SS6:SS33 ACO6:ACO33 AMK6:AMK33 AWG6:AWG33 BGC6:BGC33 BPY6:BPY33 BZU6:BZU33 CJQ6:CJQ33 CTM6:CTM33 DDI6:DDI33 DNE6:DNE33 DXA6:DXA33 EGW6:EGW33 EQS6:EQS33 FAO6:FAO33 FKK6:FKK33 FUG6:FUG33 GEC6:GEC33 GNY6:GNY33 GXU6:GXU33 HHQ6:HHQ33 HRM6:HRM33 IBI6:IBI33 ILE6:ILE33 IVA6:IVA33 JEW6:JEW33 JOS6:JOS33 JYO6:JYO33 KIK6:KIK33 KSG6:KSG33 LCC6:LCC33 LLY6:LLY33 LVU6:LVU33 MFQ6:MFQ33 MPM6:MPM33 MZI6:MZI33 NJE6:NJE33 NTA6:NTA33 OCW6:OCW33 OMS6:OMS33 OWO6:OWO33 PGK6:PGK33 PQG6:PQG33 QAC6:QAC33 QJY6:QJY33 QTU6:QTU33 RDQ6:RDQ33 RNM6:RNM33 RXI6:RXI33 SHE6:SHE33 SRA6:SRA33 TAW6:TAW33 TKS6:TKS33 TUO6:TUO33 UEK6:UEK33 UOG6:UOG33 UYC6:UYC33 VHY6:VHY33 VRU6:VRU33 WBQ6:WBQ33 WLM6:WLM33 WVI6:WVI33 A65576:A65603 IW65576:IW65603 SS65576:SS65603 ACO65576:ACO65603 AMK65576:AMK65603 AWG65576:AWG65603 BGC65576:BGC65603 BPY65576:BPY65603 BZU65576:BZU65603 CJQ65576:CJQ65603 CTM65576:CTM65603 DDI65576:DDI65603 DNE65576:DNE65603 DXA65576:DXA65603 EGW65576:EGW65603 EQS65576:EQS65603 FAO65576:FAO65603 FKK65576:FKK65603 FUG65576:FUG65603 GEC65576:GEC65603 GNY65576:GNY65603 GXU65576:GXU65603 HHQ65576:HHQ65603 HRM65576:HRM65603 IBI65576:IBI65603 ILE65576:ILE65603 IVA65576:IVA65603 JEW65576:JEW65603 JOS65576:JOS65603 JYO65576:JYO65603 KIK65576:KIK65603 KSG65576:KSG65603 LCC65576:LCC65603 LLY65576:LLY65603 LVU65576:LVU65603 MFQ65576:MFQ65603 MPM65576:MPM65603 MZI65576:MZI65603 NJE65576:NJE65603 NTA65576:NTA65603 OCW65576:OCW65603 OMS65576:OMS65603 OWO65576:OWO65603 PGK65576:PGK65603 PQG65576:PQG65603 QAC65576:QAC65603 QJY65576:QJY65603 QTU65576:QTU65603 RDQ65576:RDQ65603 RNM65576:RNM65603 RXI65576:RXI65603 SHE65576:SHE65603 SRA65576:SRA65603 TAW65576:TAW65603 TKS65576:TKS65603 TUO65576:TUO65603 UEK65576:UEK65603 UOG65576:UOG65603 UYC65576:UYC65603 VHY65576:VHY65603 VRU65576:VRU65603 WBQ65576:WBQ65603 WLM65576:WLM65603 WVI65576:WVI65603 A131112:A131139 IW131112:IW131139 SS131112:SS131139 ACO131112:ACO131139 AMK131112:AMK131139 AWG131112:AWG131139 BGC131112:BGC131139 BPY131112:BPY131139 BZU131112:BZU131139 CJQ131112:CJQ131139 CTM131112:CTM131139 DDI131112:DDI131139 DNE131112:DNE131139 DXA131112:DXA131139 EGW131112:EGW131139 EQS131112:EQS131139 FAO131112:FAO131139 FKK131112:FKK131139 FUG131112:FUG131139 GEC131112:GEC131139 GNY131112:GNY131139 GXU131112:GXU131139 HHQ131112:HHQ131139 HRM131112:HRM131139 IBI131112:IBI131139 ILE131112:ILE131139 IVA131112:IVA131139 JEW131112:JEW131139 JOS131112:JOS131139 JYO131112:JYO131139 KIK131112:KIK131139 KSG131112:KSG131139 LCC131112:LCC131139 LLY131112:LLY131139 LVU131112:LVU131139 MFQ131112:MFQ131139 MPM131112:MPM131139 MZI131112:MZI131139 NJE131112:NJE131139 NTA131112:NTA131139 OCW131112:OCW131139 OMS131112:OMS131139 OWO131112:OWO131139 PGK131112:PGK131139 PQG131112:PQG131139 QAC131112:QAC131139 QJY131112:QJY131139 QTU131112:QTU131139 RDQ131112:RDQ131139 RNM131112:RNM131139 RXI131112:RXI131139 SHE131112:SHE131139 SRA131112:SRA131139 TAW131112:TAW131139 TKS131112:TKS131139 TUO131112:TUO131139 UEK131112:UEK131139 UOG131112:UOG131139 UYC131112:UYC131139 VHY131112:VHY131139 VRU131112:VRU131139 WBQ131112:WBQ131139 WLM131112:WLM131139 WVI131112:WVI131139 A196648:A196675 IW196648:IW196675 SS196648:SS196675 ACO196648:ACO196675 AMK196648:AMK196675 AWG196648:AWG196675 BGC196648:BGC196675 BPY196648:BPY196675 BZU196648:BZU196675 CJQ196648:CJQ196675 CTM196648:CTM196675 DDI196648:DDI196675 DNE196648:DNE196675 DXA196648:DXA196675 EGW196648:EGW196675 EQS196648:EQS196675 FAO196648:FAO196675 FKK196648:FKK196675 FUG196648:FUG196675 GEC196648:GEC196675 GNY196648:GNY196675 GXU196648:GXU196675 HHQ196648:HHQ196675 HRM196648:HRM196675 IBI196648:IBI196675 ILE196648:ILE196675 IVA196648:IVA196675 JEW196648:JEW196675 JOS196648:JOS196675 JYO196648:JYO196675 KIK196648:KIK196675 KSG196648:KSG196675 LCC196648:LCC196675 LLY196648:LLY196675 LVU196648:LVU196675 MFQ196648:MFQ196675 MPM196648:MPM196675 MZI196648:MZI196675 NJE196648:NJE196675 NTA196648:NTA196675 OCW196648:OCW196675 OMS196648:OMS196675 OWO196648:OWO196675 PGK196648:PGK196675 PQG196648:PQG196675 QAC196648:QAC196675 QJY196648:QJY196675 QTU196648:QTU196675 RDQ196648:RDQ196675 RNM196648:RNM196675 RXI196648:RXI196675 SHE196648:SHE196675 SRA196648:SRA196675 TAW196648:TAW196675 TKS196648:TKS196675 TUO196648:TUO196675 UEK196648:UEK196675 UOG196648:UOG196675 UYC196648:UYC196675 VHY196648:VHY196675 VRU196648:VRU196675 WBQ196648:WBQ196675 WLM196648:WLM196675 WVI196648:WVI196675 A262184:A262211 IW262184:IW262211 SS262184:SS262211 ACO262184:ACO262211 AMK262184:AMK262211 AWG262184:AWG262211 BGC262184:BGC262211 BPY262184:BPY262211 BZU262184:BZU262211 CJQ262184:CJQ262211 CTM262184:CTM262211 DDI262184:DDI262211 DNE262184:DNE262211 DXA262184:DXA262211 EGW262184:EGW262211 EQS262184:EQS262211 FAO262184:FAO262211 FKK262184:FKK262211 FUG262184:FUG262211 GEC262184:GEC262211 GNY262184:GNY262211 GXU262184:GXU262211 HHQ262184:HHQ262211 HRM262184:HRM262211 IBI262184:IBI262211 ILE262184:ILE262211 IVA262184:IVA262211 JEW262184:JEW262211 JOS262184:JOS262211 JYO262184:JYO262211 KIK262184:KIK262211 KSG262184:KSG262211 LCC262184:LCC262211 LLY262184:LLY262211 LVU262184:LVU262211 MFQ262184:MFQ262211 MPM262184:MPM262211 MZI262184:MZI262211 NJE262184:NJE262211 NTA262184:NTA262211 OCW262184:OCW262211 OMS262184:OMS262211 OWO262184:OWO262211 PGK262184:PGK262211 PQG262184:PQG262211 QAC262184:QAC262211 QJY262184:QJY262211 QTU262184:QTU262211 RDQ262184:RDQ262211 RNM262184:RNM262211 RXI262184:RXI262211 SHE262184:SHE262211 SRA262184:SRA262211 TAW262184:TAW262211 TKS262184:TKS262211 TUO262184:TUO262211 UEK262184:UEK262211 UOG262184:UOG262211 UYC262184:UYC262211 VHY262184:VHY262211 VRU262184:VRU262211 WBQ262184:WBQ262211 WLM262184:WLM262211 WVI262184:WVI262211 A327720:A327747 IW327720:IW327747 SS327720:SS327747 ACO327720:ACO327747 AMK327720:AMK327747 AWG327720:AWG327747 BGC327720:BGC327747 BPY327720:BPY327747 BZU327720:BZU327747 CJQ327720:CJQ327747 CTM327720:CTM327747 DDI327720:DDI327747 DNE327720:DNE327747 DXA327720:DXA327747 EGW327720:EGW327747 EQS327720:EQS327747 FAO327720:FAO327747 FKK327720:FKK327747 FUG327720:FUG327747 GEC327720:GEC327747 GNY327720:GNY327747 GXU327720:GXU327747 HHQ327720:HHQ327747 HRM327720:HRM327747 IBI327720:IBI327747 ILE327720:ILE327747 IVA327720:IVA327747 JEW327720:JEW327747 JOS327720:JOS327747 JYO327720:JYO327747 KIK327720:KIK327747 KSG327720:KSG327747 LCC327720:LCC327747 LLY327720:LLY327747 LVU327720:LVU327747 MFQ327720:MFQ327747 MPM327720:MPM327747 MZI327720:MZI327747 NJE327720:NJE327747 NTA327720:NTA327747 OCW327720:OCW327747 OMS327720:OMS327747 OWO327720:OWO327747 PGK327720:PGK327747 PQG327720:PQG327747 QAC327720:QAC327747 QJY327720:QJY327747 QTU327720:QTU327747 RDQ327720:RDQ327747 RNM327720:RNM327747 RXI327720:RXI327747 SHE327720:SHE327747 SRA327720:SRA327747 TAW327720:TAW327747 TKS327720:TKS327747 TUO327720:TUO327747 UEK327720:UEK327747 UOG327720:UOG327747 UYC327720:UYC327747 VHY327720:VHY327747 VRU327720:VRU327747 WBQ327720:WBQ327747 WLM327720:WLM327747 WVI327720:WVI327747 A393256:A393283 IW393256:IW393283 SS393256:SS393283 ACO393256:ACO393283 AMK393256:AMK393283 AWG393256:AWG393283 BGC393256:BGC393283 BPY393256:BPY393283 BZU393256:BZU393283 CJQ393256:CJQ393283 CTM393256:CTM393283 DDI393256:DDI393283 DNE393256:DNE393283 DXA393256:DXA393283 EGW393256:EGW393283 EQS393256:EQS393283 FAO393256:FAO393283 FKK393256:FKK393283 FUG393256:FUG393283 GEC393256:GEC393283 GNY393256:GNY393283 GXU393256:GXU393283 HHQ393256:HHQ393283 HRM393256:HRM393283 IBI393256:IBI393283 ILE393256:ILE393283 IVA393256:IVA393283 JEW393256:JEW393283 JOS393256:JOS393283 JYO393256:JYO393283 KIK393256:KIK393283 KSG393256:KSG393283 LCC393256:LCC393283 LLY393256:LLY393283 LVU393256:LVU393283 MFQ393256:MFQ393283 MPM393256:MPM393283 MZI393256:MZI393283 NJE393256:NJE393283 NTA393256:NTA393283 OCW393256:OCW393283 OMS393256:OMS393283 OWO393256:OWO393283 PGK393256:PGK393283 PQG393256:PQG393283 QAC393256:QAC393283 QJY393256:QJY393283 QTU393256:QTU393283 RDQ393256:RDQ393283 RNM393256:RNM393283 RXI393256:RXI393283 SHE393256:SHE393283 SRA393256:SRA393283 TAW393256:TAW393283 TKS393256:TKS393283 TUO393256:TUO393283 UEK393256:UEK393283 UOG393256:UOG393283 UYC393256:UYC393283 VHY393256:VHY393283 VRU393256:VRU393283 WBQ393256:WBQ393283 WLM393256:WLM393283 WVI393256:WVI393283 A458792:A458819 IW458792:IW458819 SS458792:SS458819 ACO458792:ACO458819 AMK458792:AMK458819 AWG458792:AWG458819 BGC458792:BGC458819 BPY458792:BPY458819 BZU458792:BZU458819 CJQ458792:CJQ458819 CTM458792:CTM458819 DDI458792:DDI458819 DNE458792:DNE458819 DXA458792:DXA458819 EGW458792:EGW458819 EQS458792:EQS458819 FAO458792:FAO458819 FKK458792:FKK458819 FUG458792:FUG458819 GEC458792:GEC458819 GNY458792:GNY458819 GXU458792:GXU458819 HHQ458792:HHQ458819 HRM458792:HRM458819 IBI458792:IBI458819 ILE458792:ILE458819 IVA458792:IVA458819 JEW458792:JEW458819 JOS458792:JOS458819 JYO458792:JYO458819 KIK458792:KIK458819 KSG458792:KSG458819 LCC458792:LCC458819 LLY458792:LLY458819 LVU458792:LVU458819 MFQ458792:MFQ458819 MPM458792:MPM458819 MZI458792:MZI458819 NJE458792:NJE458819 NTA458792:NTA458819 OCW458792:OCW458819 OMS458792:OMS458819 OWO458792:OWO458819 PGK458792:PGK458819 PQG458792:PQG458819 QAC458792:QAC458819 QJY458792:QJY458819 QTU458792:QTU458819 RDQ458792:RDQ458819 RNM458792:RNM458819 RXI458792:RXI458819 SHE458792:SHE458819 SRA458792:SRA458819 TAW458792:TAW458819 TKS458792:TKS458819 TUO458792:TUO458819 UEK458792:UEK458819 UOG458792:UOG458819 UYC458792:UYC458819 VHY458792:VHY458819 VRU458792:VRU458819 WBQ458792:WBQ458819 WLM458792:WLM458819 WVI458792:WVI458819 A524328:A524355 IW524328:IW524355 SS524328:SS524355 ACO524328:ACO524355 AMK524328:AMK524355 AWG524328:AWG524355 BGC524328:BGC524355 BPY524328:BPY524355 BZU524328:BZU524355 CJQ524328:CJQ524355 CTM524328:CTM524355 DDI524328:DDI524355 DNE524328:DNE524355 DXA524328:DXA524355 EGW524328:EGW524355 EQS524328:EQS524355 FAO524328:FAO524355 FKK524328:FKK524355 FUG524328:FUG524355 GEC524328:GEC524355 GNY524328:GNY524355 GXU524328:GXU524355 HHQ524328:HHQ524355 HRM524328:HRM524355 IBI524328:IBI524355 ILE524328:ILE524355 IVA524328:IVA524355 JEW524328:JEW524355 JOS524328:JOS524355 JYO524328:JYO524355 KIK524328:KIK524355 KSG524328:KSG524355 LCC524328:LCC524355 LLY524328:LLY524355 LVU524328:LVU524355 MFQ524328:MFQ524355 MPM524328:MPM524355 MZI524328:MZI524355 NJE524328:NJE524355 NTA524328:NTA524355 OCW524328:OCW524355 OMS524328:OMS524355 OWO524328:OWO524355 PGK524328:PGK524355 PQG524328:PQG524355 QAC524328:QAC524355 QJY524328:QJY524355 QTU524328:QTU524355 RDQ524328:RDQ524355 RNM524328:RNM524355 RXI524328:RXI524355 SHE524328:SHE524355 SRA524328:SRA524355 TAW524328:TAW524355 TKS524328:TKS524355 TUO524328:TUO524355 UEK524328:UEK524355 UOG524328:UOG524355 UYC524328:UYC524355 VHY524328:VHY524355 VRU524328:VRU524355 WBQ524328:WBQ524355 WLM524328:WLM524355 WVI524328:WVI524355 A589864:A589891 IW589864:IW589891 SS589864:SS589891 ACO589864:ACO589891 AMK589864:AMK589891 AWG589864:AWG589891 BGC589864:BGC589891 BPY589864:BPY589891 BZU589864:BZU589891 CJQ589864:CJQ589891 CTM589864:CTM589891 DDI589864:DDI589891 DNE589864:DNE589891 DXA589864:DXA589891 EGW589864:EGW589891 EQS589864:EQS589891 FAO589864:FAO589891 FKK589864:FKK589891 FUG589864:FUG589891 GEC589864:GEC589891 GNY589864:GNY589891 GXU589864:GXU589891 HHQ589864:HHQ589891 HRM589864:HRM589891 IBI589864:IBI589891 ILE589864:ILE589891 IVA589864:IVA589891 JEW589864:JEW589891 JOS589864:JOS589891 JYO589864:JYO589891 KIK589864:KIK589891 KSG589864:KSG589891 LCC589864:LCC589891 LLY589864:LLY589891 LVU589864:LVU589891 MFQ589864:MFQ589891 MPM589864:MPM589891 MZI589864:MZI589891 NJE589864:NJE589891 NTA589864:NTA589891 OCW589864:OCW589891 OMS589864:OMS589891 OWO589864:OWO589891 PGK589864:PGK589891 PQG589864:PQG589891 QAC589864:QAC589891 QJY589864:QJY589891 QTU589864:QTU589891 RDQ589864:RDQ589891 RNM589864:RNM589891 RXI589864:RXI589891 SHE589864:SHE589891 SRA589864:SRA589891 TAW589864:TAW589891 TKS589864:TKS589891 TUO589864:TUO589891 UEK589864:UEK589891 UOG589864:UOG589891 UYC589864:UYC589891 VHY589864:VHY589891 VRU589864:VRU589891 WBQ589864:WBQ589891 WLM589864:WLM589891 WVI589864:WVI589891 A655400:A655427 IW655400:IW655427 SS655400:SS655427 ACO655400:ACO655427 AMK655400:AMK655427 AWG655400:AWG655427 BGC655400:BGC655427 BPY655400:BPY655427 BZU655400:BZU655427 CJQ655400:CJQ655427 CTM655400:CTM655427 DDI655400:DDI655427 DNE655400:DNE655427 DXA655400:DXA655427 EGW655400:EGW655427 EQS655400:EQS655427 FAO655400:FAO655427 FKK655400:FKK655427 FUG655400:FUG655427 GEC655400:GEC655427 GNY655400:GNY655427 GXU655400:GXU655427 HHQ655400:HHQ655427 HRM655400:HRM655427 IBI655400:IBI655427 ILE655400:ILE655427 IVA655400:IVA655427 JEW655400:JEW655427 JOS655400:JOS655427 JYO655400:JYO655427 KIK655400:KIK655427 KSG655400:KSG655427 LCC655400:LCC655427 LLY655400:LLY655427 LVU655400:LVU655427 MFQ655400:MFQ655427 MPM655400:MPM655427 MZI655400:MZI655427 NJE655400:NJE655427 NTA655400:NTA655427 OCW655400:OCW655427 OMS655400:OMS655427 OWO655400:OWO655427 PGK655400:PGK655427 PQG655400:PQG655427 QAC655400:QAC655427 QJY655400:QJY655427 QTU655400:QTU655427 RDQ655400:RDQ655427 RNM655400:RNM655427 RXI655400:RXI655427 SHE655400:SHE655427 SRA655400:SRA655427 TAW655400:TAW655427 TKS655400:TKS655427 TUO655400:TUO655427 UEK655400:UEK655427 UOG655400:UOG655427 UYC655400:UYC655427 VHY655400:VHY655427 VRU655400:VRU655427 WBQ655400:WBQ655427 WLM655400:WLM655427 WVI655400:WVI655427 A720936:A720963 IW720936:IW720963 SS720936:SS720963 ACO720936:ACO720963 AMK720936:AMK720963 AWG720936:AWG720963 BGC720936:BGC720963 BPY720936:BPY720963 BZU720936:BZU720963 CJQ720936:CJQ720963 CTM720936:CTM720963 DDI720936:DDI720963 DNE720936:DNE720963 DXA720936:DXA720963 EGW720936:EGW720963 EQS720936:EQS720963 FAO720936:FAO720963 FKK720936:FKK720963 FUG720936:FUG720963 GEC720936:GEC720963 GNY720936:GNY720963 GXU720936:GXU720963 HHQ720936:HHQ720963 HRM720936:HRM720963 IBI720936:IBI720963 ILE720936:ILE720963 IVA720936:IVA720963 JEW720936:JEW720963 JOS720936:JOS720963 JYO720936:JYO720963 KIK720936:KIK720963 KSG720936:KSG720963 LCC720936:LCC720963 LLY720936:LLY720963 LVU720936:LVU720963 MFQ720936:MFQ720963 MPM720936:MPM720963 MZI720936:MZI720963 NJE720936:NJE720963 NTA720936:NTA720963 OCW720936:OCW720963 OMS720936:OMS720963 OWO720936:OWO720963 PGK720936:PGK720963 PQG720936:PQG720963 QAC720936:QAC720963 QJY720936:QJY720963 QTU720936:QTU720963 RDQ720936:RDQ720963 RNM720936:RNM720963 RXI720936:RXI720963 SHE720936:SHE720963 SRA720936:SRA720963 TAW720936:TAW720963 TKS720936:TKS720963 TUO720936:TUO720963 UEK720936:UEK720963 UOG720936:UOG720963 UYC720936:UYC720963 VHY720936:VHY720963 VRU720936:VRU720963 WBQ720936:WBQ720963 WLM720936:WLM720963 WVI720936:WVI720963 A786472:A786499 IW786472:IW786499 SS786472:SS786499 ACO786472:ACO786499 AMK786472:AMK786499 AWG786472:AWG786499 BGC786472:BGC786499 BPY786472:BPY786499 BZU786472:BZU786499 CJQ786472:CJQ786499 CTM786472:CTM786499 DDI786472:DDI786499 DNE786472:DNE786499 DXA786472:DXA786499 EGW786472:EGW786499 EQS786472:EQS786499 FAO786472:FAO786499 FKK786472:FKK786499 FUG786472:FUG786499 GEC786472:GEC786499 GNY786472:GNY786499 GXU786472:GXU786499 HHQ786472:HHQ786499 HRM786472:HRM786499 IBI786472:IBI786499 ILE786472:ILE786499 IVA786472:IVA786499 JEW786472:JEW786499 JOS786472:JOS786499 JYO786472:JYO786499 KIK786472:KIK786499 KSG786472:KSG786499 LCC786472:LCC786499 LLY786472:LLY786499 LVU786472:LVU786499 MFQ786472:MFQ786499 MPM786472:MPM786499 MZI786472:MZI786499 NJE786472:NJE786499 NTA786472:NTA786499 OCW786472:OCW786499 OMS786472:OMS786499 OWO786472:OWO786499 PGK786472:PGK786499 PQG786472:PQG786499 QAC786472:QAC786499 QJY786472:QJY786499 QTU786472:QTU786499 RDQ786472:RDQ786499 RNM786472:RNM786499 RXI786472:RXI786499 SHE786472:SHE786499 SRA786472:SRA786499 TAW786472:TAW786499 TKS786472:TKS786499 TUO786472:TUO786499 UEK786472:UEK786499 UOG786472:UOG786499 UYC786472:UYC786499 VHY786472:VHY786499 VRU786472:VRU786499 WBQ786472:WBQ786499 WLM786472:WLM786499 WVI786472:WVI786499 A852008:A852035 IW852008:IW852035 SS852008:SS852035 ACO852008:ACO852035 AMK852008:AMK852035 AWG852008:AWG852035 BGC852008:BGC852035 BPY852008:BPY852035 BZU852008:BZU852035 CJQ852008:CJQ852035 CTM852008:CTM852035 DDI852008:DDI852035 DNE852008:DNE852035 DXA852008:DXA852035 EGW852008:EGW852035 EQS852008:EQS852035 FAO852008:FAO852035 FKK852008:FKK852035 FUG852008:FUG852035 GEC852008:GEC852035 GNY852008:GNY852035 GXU852008:GXU852035 HHQ852008:HHQ852035 HRM852008:HRM852035 IBI852008:IBI852035 ILE852008:ILE852035 IVA852008:IVA852035 JEW852008:JEW852035 JOS852008:JOS852035 JYO852008:JYO852035 KIK852008:KIK852035 KSG852008:KSG852035 LCC852008:LCC852035 LLY852008:LLY852035 LVU852008:LVU852035 MFQ852008:MFQ852035 MPM852008:MPM852035 MZI852008:MZI852035 NJE852008:NJE852035 NTA852008:NTA852035 OCW852008:OCW852035 OMS852008:OMS852035 OWO852008:OWO852035 PGK852008:PGK852035 PQG852008:PQG852035 QAC852008:QAC852035 QJY852008:QJY852035 QTU852008:QTU852035 RDQ852008:RDQ852035 RNM852008:RNM852035 RXI852008:RXI852035 SHE852008:SHE852035 SRA852008:SRA852035 TAW852008:TAW852035 TKS852008:TKS852035 TUO852008:TUO852035 UEK852008:UEK852035 UOG852008:UOG852035 UYC852008:UYC852035 VHY852008:VHY852035 VRU852008:VRU852035 WBQ852008:WBQ852035 WLM852008:WLM852035 WVI852008:WVI852035 A917544:A917571 IW917544:IW917571 SS917544:SS917571 ACO917544:ACO917571 AMK917544:AMK917571 AWG917544:AWG917571 BGC917544:BGC917571 BPY917544:BPY917571 BZU917544:BZU917571 CJQ917544:CJQ917571 CTM917544:CTM917571 DDI917544:DDI917571 DNE917544:DNE917571 DXA917544:DXA917571 EGW917544:EGW917571 EQS917544:EQS917571 FAO917544:FAO917571 FKK917544:FKK917571 FUG917544:FUG917571 GEC917544:GEC917571 GNY917544:GNY917571 GXU917544:GXU917571 HHQ917544:HHQ917571 HRM917544:HRM917571 IBI917544:IBI917571 ILE917544:ILE917571 IVA917544:IVA917571 JEW917544:JEW917571 JOS917544:JOS917571 JYO917544:JYO917571 KIK917544:KIK917571 KSG917544:KSG917571 LCC917544:LCC917571 LLY917544:LLY917571 LVU917544:LVU917571 MFQ917544:MFQ917571 MPM917544:MPM917571 MZI917544:MZI917571 NJE917544:NJE917571 NTA917544:NTA917571 OCW917544:OCW917571 OMS917544:OMS917571 OWO917544:OWO917571 PGK917544:PGK917571 PQG917544:PQG917571 QAC917544:QAC917571 QJY917544:QJY917571 QTU917544:QTU917571 RDQ917544:RDQ917571 RNM917544:RNM917571 RXI917544:RXI917571 SHE917544:SHE917571 SRA917544:SRA917571 TAW917544:TAW917571 TKS917544:TKS917571 TUO917544:TUO917571 UEK917544:UEK917571 UOG917544:UOG917571 UYC917544:UYC917571 VHY917544:VHY917571 VRU917544:VRU917571 WBQ917544:WBQ917571 WLM917544:WLM917571 WVI917544:WVI917571 A983080:A983107 IW983080:IW983107 SS983080:SS983107 ACO983080:ACO983107 AMK983080:AMK983107 AWG983080:AWG983107 BGC983080:BGC983107 BPY983080:BPY983107 BZU983080:BZU983107 CJQ983080:CJQ983107 CTM983080:CTM983107 DDI983080:DDI983107 DNE983080:DNE983107 DXA983080:DXA983107 EGW983080:EGW983107 EQS983080:EQS983107 FAO983080:FAO983107 FKK983080:FKK983107 FUG983080:FUG983107 GEC983080:GEC983107 GNY983080:GNY983107 GXU983080:GXU983107 HHQ983080:HHQ983107 HRM983080:HRM983107 IBI983080:IBI983107 ILE983080:ILE983107 IVA983080:IVA983107 JEW983080:JEW983107 JOS983080:JOS983107 JYO983080:JYO983107 KIK983080:KIK983107 KSG983080:KSG983107 LCC983080:LCC983107 LLY983080:LLY983107 LVU983080:LVU983107 MFQ983080:MFQ983107 MPM983080:MPM983107 MZI983080:MZI983107 NJE983080:NJE983107 NTA983080:NTA983107 OCW983080:OCW983107 OMS983080:OMS983107 OWO983080:OWO983107 PGK983080:PGK983107 PQG983080:PQG983107 QAC983080:QAC983107 QJY983080:QJY983107 QTU983080:QTU983107 RDQ983080:RDQ983107 RNM983080:RNM983107 RXI983080:RXI983107 SHE983080:SHE983107 SRA983080:SRA983107 TAW983080:TAW983107 TKS983080:TKS983107 TUO983080:TUO983107 UEK983080:UEK983107 UOG983080:UOG983107 UYC983080:UYC983107 VHY983080:VHY983107 VRU983080:VRU983107 WBQ983080:WBQ983107 WLM983080:WLM983107 WVI983080:WVI983107" xr:uid="{21E58A75-0E80-40D5-9199-B95D440E9199}">
      <formula1>IF(SUM(A6:A37)=0,1,0)</formula1>
    </dataValidation>
    <dataValidation type="custom" allowBlank="1" showInputMessage="1" showErrorMessage="1" errorTitle="Error" error="Don't enter numbers above the yellow in column A." sqref="A1:A5 IW1:IW5 SS1:SS5 ACO1:ACO5 AMK1:AMK5 AWG1:AWG5 BGC1:BGC5 BPY1:BPY5 BZU1:BZU5 CJQ1:CJQ5 CTM1:CTM5 DDI1:DDI5 DNE1:DNE5 DXA1:DXA5 EGW1:EGW5 EQS1:EQS5 FAO1:FAO5 FKK1:FKK5 FUG1:FUG5 GEC1:GEC5 GNY1:GNY5 GXU1:GXU5 HHQ1:HHQ5 HRM1:HRM5 IBI1:IBI5 ILE1:ILE5 IVA1:IVA5 JEW1:JEW5 JOS1:JOS5 JYO1:JYO5 KIK1:KIK5 KSG1:KSG5 LCC1:LCC5 LLY1:LLY5 LVU1:LVU5 MFQ1:MFQ5 MPM1:MPM5 MZI1:MZI5 NJE1:NJE5 NTA1:NTA5 OCW1:OCW5 OMS1:OMS5 OWO1:OWO5 PGK1:PGK5 PQG1:PQG5 QAC1:QAC5 QJY1:QJY5 QTU1:QTU5 RDQ1:RDQ5 RNM1:RNM5 RXI1:RXI5 SHE1:SHE5 SRA1:SRA5 TAW1:TAW5 TKS1:TKS5 TUO1:TUO5 UEK1:UEK5 UOG1:UOG5 UYC1:UYC5 VHY1:VHY5 VRU1:VRU5 WBQ1:WBQ5 WLM1:WLM5 WVI1:WVI5 A65571:A65575 IW65571:IW65575 SS65571:SS65575 ACO65571:ACO65575 AMK65571:AMK65575 AWG65571:AWG65575 BGC65571:BGC65575 BPY65571:BPY65575 BZU65571:BZU65575 CJQ65571:CJQ65575 CTM65571:CTM65575 DDI65571:DDI65575 DNE65571:DNE65575 DXA65571:DXA65575 EGW65571:EGW65575 EQS65571:EQS65575 FAO65571:FAO65575 FKK65571:FKK65575 FUG65571:FUG65575 GEC65571:GEC65575 GNY65571:GNY65575 GXU65571:GXU65575 HHQ65571:HHQ65575 HRM65571:HRM65575 IBI65571:IBI65575 ILE65571:ILE65575 IVA65571:IVA65575 JEW65571:JEW65575 JOS65571:JOS65575 JYO65571:JYO65575 KIK65571:KIK65575 KSG65571:KSG65575 LCC65571:LCC65575 LLY65571:LLY65575 LVU65571:LVU65575 MFQ65571:MFQ65575 MPM65571:MPM65575 MZI65571:MZI65575 NJE65571:NJE65575 NTA65571:NTA65575 OCW65571:OCW65575 OMS65571:OMS65575 OWO65571:OWO65575 PGK65571:PGK65575 PQG65571:PQG65575 QAC65571:QAC65575 QJY65571:QJY65575 QTU65571:QTU65575 RDQ65571:RDQ65575 RNM65571:RNM65575 RXI65571:RXI65575 SHE65571:SHE65575 SRA65571:SRA65575 TAW65571:TAW65575 TKS65571:TKS65575 TUO65571:TUO65575 UEK65571:UEK65575 UOG65571:UOG65575 UYC65571:UYC65575 VHY65571:VHY65575 VRU65571:VRU65575 WBQ65571:WBQ65575 WLM65571:WLM65575 WVI65571:WVI65575 A131107:A131111 IW131107:IW131111 SS131107:SS131111 ACO131107:ACO131111 AMK131107:AMK131111 AWG131107:AWG131111 BGC131107:BGC131111 BPY131107:BPY131111 BZU131107:BZU131111 CJQ131107:CJQ131111 CTM131107:CTM131111 DDI131107:DDI131111 DNE131107:DNE131111 DXA131107:DXA131111 EGW131107:EGW131111 EQS131107:EQS131111 FAO131107:FAO131111 FKK131107:FKK131111 FUG131107:FUG131111 GEC131107:GEC131111 GNY131107:GNY131111 GXU131107:GXU131111 HHQ131107:HHQ131111 HRM131107:HRM131111 IBI131107:IBI131111 ILE131107:ILE131111 IVA131107:IVA131111 JEW131107:JEW131111 JOS131107:JOS131111 JYO131107:JYO131111 KIK131107:KIK131111 KSG131107:KSG131111 LCC131107:LCC131111 LLY131107:LLY131111 LVU131107:LVU131111 MFQ131107:MFQ131111 MPM131107:MPM131111 MZI131107:MZI131111 NJE131107:NJE131111 NTA131107:NTA131111 OCW131107:OCW131111 OMS131107:OMS131111 OWO131107:OWO131111 PGK131107:PGK131111 PQG131107:PQG131111 QAC131107:QAC131111 QJY131107:QJY131111 QTU131107:QTU131111 RDQ131107:RDQ131111 RNM131107:RNM131111 RXI131107:RXI131111 SHE131107:SHE131111 SRA131107:SRA131111 TAW131107:TAW131111 TKS131107:TKS131111 TUO131107:TUO131111 UEK131107:UEK131111 UOG131107:UOG131111 UYC131107:UYC131111 VHY131107:VHY131111 VRU131107:VRU131111 WBQ131107:WBQ131111 WLM131107:WLM131111 WVI131107:WVI131111 A196643:A196647 IW196643:IW196647 SS196643:SS196647 ACO196643:ACO196647 AMK196643:AMK196647 AWG196643:AWG196647 BGC196643:BGC196647 BPY196643:BPY196647 BZU196643:BZU196647 CJQ196643:CJQ196647 CTM196643:CTM196647 DDI196643:DDI196647 DNE196643:DNE196647 DXA196643:DXA196647 EGW196643:EGW196647 EQS196643:EQS196647 FAO196643:FAO196647 FKK196643:FKK196647 FUG196643:FUG196647 GEC196643:GEC196647 GNY196643:GNY196647 GXU196643:GXU196647 HHQ196643:HHQ196647 HRM196643:HRM196647 IBI196643:IBI196647 ILE196643:ILE196647 IVA196643:IVA196647 JEW196643:JEW196647 JOS196643:JOS196647 JYO196643:JYO196647 KIK196643:KIK196647 KSG196643:KSG196647 LCC196643:LCC196647 LLY196643:LLY196647 LVU196643:LVU196647 MFQ196643:MFQ196647 MPM196643:MPM196647 MZI196643:MZI196647 NJE196643:NJE196647 NTA196643:NTA196647 OCW196643:OCW196647 OMS196643:OMS196647 OWO196643:OWO196647 PGK196643:PGK196647 PQG196643:PQG196647 QAC196643:QAC196647 QJY196643:QJY196647 QTU196643:QTU196647 RDQ196643:RDQ196647 RNM196643:RNM196647 RXI196643:RXI196647 SHE196643:SHE196647 SRA196643:SRA196647 TAW196643:TAW196647 TKS196643:TKS196647 TUO196643:TUO196647 UEK196643:UEK196647 UOG196643:UOG196647 UYC196643:UYC196647 VHY196643:VHY196647 VRU196643:VRU196647 WBQ196643:WBQ196647 WLM196643:WLM196647 WVI196643:WVI196647 A262179:A262183 IW262179:IW262183 SS262179:SS262183 ACO262179:ACO262183 AMK262179:AMK262183 AWG262179:AWG262183 BGC262179:BGC262183 BPY262179:BPY262183 BZU262179:BZU262183 CJQ262179:CJQ262183 CTM262179:CTM262183 DDI262179:DDI262183 DNE262179:DNE262183 DXA262179:DXA262183 EGW262179:EGW262183 EQS262179:EQS262183 FAO262179:FAO262183 FKK262179:FKK262183 FUG262179:FUG262183 GEC262179:GEC262183 GNY262179:GNY262183 GXU262179:GXU262183 HHQ262179:HHQ262183 HRM262179:HRM262183 IBI262179:IBI262183 ILE262179:ILE262183 IVA262179:IVA262183 JEW262179:JEW262183 JOS262179:JOS262183 JYO262179:JYO262183 KIK262179:KIK262183 KSG262179:KSG262183 LCC262179:LCC262183 LLY262179:LLY262183 LVU262179:LVU262183 MFQ262179:MFQ262183 MPM262179:MPM262183 MZI262179:MZI262183 NJE262179:NJE262183 NTA262179:NTA262183 OCW262179:OCW262183 OMS262179:OMS262183 OWO262179:OWO262183 PGK262179:PGK262183 PQG262179:PQG262183 QAC262179:QAC262183 QJY262179:QJY262183 QTU262179:QTU262183 RDQ262179:RDQ262183 RNM262179:RNM262183 RXI262179:RXI262183 SHE262179:SHE262183 SRA262179:SRA262183 TAW262179:TAW262183 TKS262179:TKS262183 TUO262179:TUO262183 UEK262179:UEK262183 UOG262179:UOG262183 UYC262179:UYC262183 VHY262179:VHY262183 VRU262179:VRU262183 WBQ262179:WBQ262183 WLM262179:WLM262183 WVI262179:WVI262183 A327715:A327719 IW327715:IW327719 SS327715:SS327719 ACO327715:ACO327719 AMK327715:AMK327719 AWG327715:AWG327719 BGC327715:BGC327719 BPY327715:BPY327719 BZU327715:BZU327719 CJQ327715:CJQ327719 CTM327715:CTM327719 DDI327715:DDI327719 DNE327715:DNE327719 DXA327715:DXA327719 EGW327715:EGW327719 EQS327715:EQS327719 FAO327715:FAO327719 FKK327715:FKK327719 FUG327715:FUG327719 GEC327715:GEC327719 GNY327715:GNY327719 GXU327715:GXU327719 HHQ327715:HHQ327719 HRM327715:HRM327719 IBI327715:IBI327719 ILE327715:ILE327719 IVA327715:IVA327719 JEW327715:JEW327719 JOS327715:JOS327719 JYO327715:JYO327719 KIK327715:KIK327719 KSG327715:KSG327719 LCC327715:LCC327719 LLY327715:LLY327719 LVU327715:LVU327719 MFQ327715:MFQ327719 MPM327715:MPM327719 MZI327715:MZI327719 NJE327715:NJE327719 NTA327715:NTA327719 OCW327715:OCW327719 OMS327715:OMS327719 OWO327715:OWO327719 PGK327715:PGK327719 PQG327715:PQG327719 QAC327715:QAC327719 QJY327715:QJY327719 QTU327715:QTU327719 RDQ327715:RDQ327719 RNM327715:RNM327719 RXI327715:RXI327719 SHE327715:SHE327719 SRA327715:SRA327719 TAW327715:TAW327719 TKS327715:TKS327719 TUO327715:TUO327719 UEK327715:UEK327719 UOG327715:UOG327719 UYC327715:UYC327719 VHY327715:VHY327719 VRU327715:VRU327719 WBQ327715:WBQ327719 WLM327715:WLM327719 WVI327715:WVI327719 A393251:A393255 IW393251:IW393255 SS393251:SS393255 ACO393251:ACO393255 AMK393251:AMK393255 AWG393251:AWG393255 BGC393251:BGC393255 BPY393251:BPY393255 BZU393251:BZU393255 CJQ393251:CJQ393255 CTM393251:CTM393255 DDI393251:DDI393255 DNE393251:DNE393255 DXA393251:DXA393255 EGW393251:EGW393255 EQS393251:EQS393255 FAO393251:FAO393255 FKK393251:FKK393255 FUG393251:FUG393255 GEC393251:GEC393255 GNY393251:GNY393255 GXU393251:GXU393255 HHQ393251:HHQ393255 HRM393251:HRM393255 IBI393251:IBI393255 ILE393251:ILE393255 IVA393251:IVA393255 JEW393251:JEW393255 JOS393251:JOS393255 JYO393251:JYO393255 KIK393251:KIK393255 KSG393251:KSG393255 LCC393251:LCC393255 LLY393251:LLY393255 LVU393251:LVU393255 MFQ393251:MFQ393255 MPM393251:MPM393255 MZI393251:MZI393255 NJE393251:NJE393255 NTA393251:NTA393255 OCW393251:OCW393255 OMS393251:OMS393255 OWO393251:OWO393255 PGK393251:PGK393255 PQG393251:PQG393255 QAC393251:QAC393255 QJY393251:QJY393255 QTU393251:QTU393255 RDQ393251:RDQ393255 RNM393251:RNM393255 RXI393251:RXI393255 SHE393251:SHE393255 SRA393251:SRA393255 TAW393251:TAW393255 TKS393251:TKS393255 TUO393251:TUO393255 UEK393251:UEK393255 UOG393251:UOG393255 UYC393251:UYC393255 VHY393251:VHY393255 VRU393251:VRU393255 WBQ393251:WBQ393255 WLM393251:WLM393255 WVI393251:WVI393255 A458787:A458791 IW458787:IW458791 SS458787:SS458791 ACO458787:ACO458791 AMK458787:AMK458791 AWG458787:AWG458791 BGC458787:BGC458791 BPY458787:BPY458791 BZU458787:BZU458791 CJQ458787:CJQ458791 CTM458787:CTM458791 DDI458787:DDI458791 DNE458787:DNE458791 DXA458787:DXA458791 EGW458787:EGW458791 EQS458787:EQS458791 FAO458787:FAO458791 FKK458787:FKK458791 FUG458787:FUG458791 GEC458787:GEC458791 GNY458787:GNY458791 GXU458787:GXU458791 HHQ458787:HHQ458791 HRM458787:HRM458791 IBI458787:IBI458791 ILE458787:ILE458791 IVA458787:IVA458791 JEW458787:JEW458791 JOS458787:JOS458791 JYO458787:JYO458791 KIK458787:KIK458791 KSG458787:KSG458791 LCC458787:LCC458791 LLY458787:LLY458791 LVU458787:LVU458791 MFQ458787:MFQ458791 MPM458787:MPM458791 MZI458787:MZI458791 NJE458787:NJE458791 NTA458787:NTA458791 OCW458787:OCW458791 OMS458787:OMS458791 OWO458787:OWO458791 PGK458787:PGK458791 PQG458787:PQG458791 QAC458787:QAC458791 QJY458787:QJY458791 QTU458787:QTU458791 RDQ458787:RDQ458791 RNM458787:RNM458791 RXI458787:RXI458791 SHE458787:SHE458791 SRA458787:SRA458791 TAW458787:TAW458791 TKS458787:TKS458791 TUO458787:TUO458791 UEK458787:UEK458791 UOG458787:UOG458791 UYC458787:UYC458791 VHY458787:VHY458791 VRU458787:VRU458791 WBQ458787:WBQ458791 WLM458787:WLM458791 WVI458787:WVI458791 A524323:A524327 IW524323:IW524327 SS524323:SS524327 ACO524323:ACO524327 AMK524323:AMK524327 AWG524323:AWG524327 BGC524323:BGC524327 BPY524323:BPY524327 BZU524323:BZU524327 CJQ524323:CJQ524327 CTM524323:CTM524327 DDI524323:DDI524327 DNE524323:DNE524327 DXA524323:DXA524327 EGW524323:EGW524327 EQS524323:EQS524327 FAO524323:FAO524327 FKK524323:FKK524327 FUG524323:FUG524327 GEC524323:GEC524327 GNY524323:GNY524327 GXU524323:GXU524327 HHQ524323:HHQ524327 HRM524323:HRM524327 IBI524323:IBI524327 ILE524323:ILE524327 IVA524323:IVA524327 JEW524323:JEW524327 JOS524323:JOS524327 JYO524323:JYO524327 KIK524323:KIK524327 KSG524323:KSG524327 LCC524323:LCC524327 LLY524323:LLY524327 LVU524323:LVU524327 MFQ524323:MFQ524327 MPM524323:MPM524327 MZI524323:MZI524327 NJE524323:NJE524327 NTA524323:NTA524327 OCW524323:OCW524327 OMS524323:OMS524327 OWO524323:OWO524327 PGK524323:PGK524327 PQG524323:PQG524327 QAC524323:QAC524327 QJY524323:QJY524327 QTU524323:QTU524327 RDQ524323:RDQ524327 RNM524323:RNM524327 RXI524323:RXI524327 SHE524323:SHE524327 SRA524323:SRA524327 TAW524323:TAW524327 TKS524323:TKS524327 TUO524323:TUO524327 UEK524323:UEK524327 UOG524323:UOG524327 UYC524323:UYC524327 VHY524323:VHY524327 VRU524323:VRU524327 WBQ524323:WBQ524327 WLM524323:WLM524327 WVI524323:WVI524327 A589859:A589863 IW589859:IW589863 SS589859:SS589863 ACO589859:ACO589863 AMK589859:AMK589863 AWG589859:AWG589863 BGC589859:BGC589863 BPY589859:BPY589863 BZU589859:BZU589863 CJQ589859:CJQ589863 CTM589859:CTM589863 DDI589859:DDI589863 DNE589859:DNE589863 DXA589859:DXA589863 EGW589859:EGW589863 EQS589859:EQS589863 FAO589859:FAO589863 FKK589859:FKK589863 FUG589859:FUG589863 GEC589859:GEC589863 GNY589859:GNY589863 GXU589859:GXU589863 HHQ589859:HHQ589863 HRM589859:HRM589863 IBI589859:IBI589863 ILE589859:ILE589863 IVA589859:IVA589863 JEW589859:JEW589863 JOS589859:JOS589863 JYO589859:JYO589863 KIK589859:KIK589863 KSG589859:KSG589863 LCC589859:LCC589863 LLY589859:LLY589863 LVU589859:LVU589863 MFQ589859:MFQ589863 MPM589859:MPM589863 MZI589859:MZI589863 NJE589859:NJE589863 NTA589859:NTA589863 OCW589859:OCW589863 OMS589859:OMS589863 OWO589859:OWO589863 PGK589859:PGK589863 PQG589859:PQG589863 QAC589859:QAC589863 QJY589859:QJY589863 QTU589859:QTU589863 RDQ589859:RDQ589863 RNM589859:RNM589863 RXI589859:RXI589863 SHE589859:SHE589863 SRA589859:SRA589863 TAW589859:TAW589863 TKS589859:TKS589863 TUO589859:TUO589863 UEK589859:UEK589863 UOG589859:UOG589863 UYC589859:UYC589863 VHY589859:VHY589863 VRU589859:VRU589863 WBQ589859:WBQ589863 WLM589859:WLM589863 WVI589859:WVI589863 A655395:A655399 IW655395:IW655399 SS655395:SS655399 ACO655395:ACO655399 AMK655395:AMK655399 AWG655395:AWG655399 BGC655395:BGC655399 BPY655395:BPY655399 BZU655395:BZU655399 CJQ655395:CJQ655399 CTM655395:CTM655399 DDI655395:DDI655399 DNE655395:DNE655399 DXA655395:DXA655399 EGW655395:EGW655399 EQS655395:EQS655399 FAO655395:FAO655399 FKK655395:FKK655399 FUG655395:FUG655399 GEC655395:GEC655399 GNY655395:GNY655399 GXU655395:GXU655399 HHQ655395:HHQ655399 HRM655395:HRM655399 IBI655395:IBI655399 ILE655395:ILE655399 IVA655395:IVA655399 JEW655395:JEW655399 JOS655395:JOS655399 JYO655395:JYO655399 KIK655395:KIK655399 KSG655395:KSG655399 LCC655395:LCC655399 LLY655395:LLY655399 LVU655395:LVU655399 MFQ655395:MFQ655399 MPM655395:MPM655399 MZI655395:MZI655399 NJE655395:NJE655399 NTA655395:NTA655399 OCW655395:OCW655399 OMS655395:OMS655399 OWO655395:OWO655399 PGK655395:PGK655399 PQG655395:PQG655399 QAC655395:QAC655399 QJY655395:QJY655399 QTU655395:QTU655399 RDQ655395:RDQ655399 RNM655395:RNM655399 RXI655395:RXI655399 SHE655395:SHE655399 SRA655395:SRA655399 TAW655395:TAW655399 TKS655395:TKS655399 TUO655395:TUO655399 UEK655395:UEK655399 UOG655395:UOG655399 UYC655395:UYC655399 VHY655395:VHY655399 VRU655395:VRU655399 WBQ655395:WBQ655399 WLM655395:WLM655399 WVI655395:WVI655399 A720931:A720935 IW720931:IW720935 SS720931:SS720935 ACO720931:ACO720935 AMK720931:AMK720935 AWG720931:AWG720935 BGC720931:BGC720935 BPY720931:BPY720935 BZU720931:BZU720935 CJQ720931:CJQ720935 CTM720931:CTM720935 DDI720931:DDI720935 DNE720931:DNE720935 DXA720931:DXA720935 EGW720931:EGW720935 EQS720931:EQS720935 FAO720931:FAO720935 FKK720931:FKK720935 FUG720931:FUG720935 GEC720931:GEC720935 GNY720931:GNY720935 GXU720931:GXU720935 HHQ720931:HHQ720935 HRM720931:HRM720935 IBI720931:IBI720935 ILE720931:ILE720935 IVA720931:IVA720935 JEW720931:JEW720935 JOS720931:JOS720935 JYO720931:JYO720935 KIK720931:KIK720935 KSG720931:KSG720935 LCC720931:LCC720935 LLY720931:LLY720935 LVU720931:LVU720935 MFQ720931:MFQ720935 MPM720931:MPM720935 MZI720931:MZI720935 NJE720931:NJE720935 NTA720931:NTA720935 OCW720931:OCW720935 OMS720931:OMS720935 OWO720931:OWO720935 PGK720931:PGK720935 PQG720931:PQG720935 QAC720931:QAC720935 QJY720931:QJY720935 QTU720931:QTU720935 RDQ720931:RDQ720935 RNM720931:RNM720935 RXI720931:RXI720935 SHE720931:SHE720935 SRA720931:SRA720935 TAW720931:TAW720935 TKS720931:TKS720935 TUO720931:TUO720935 UEK720931:UEK720935 UOG720931:UOG720935 UYC720931:UYC720935 VHY720931:VHY720935 VRU720931:VRU720935 WBQ720931:WBQ720935 WLM720931:WLM720935 WVI720931:WVI720935 A786467:A786471 IW786467:IW786471 SS786467:SS786471 ACO786467:ACO786471 AMK786467:AMK786471 AWG786467:AWG786471 BGC786467:BGC786471 BPY786467:BPY786471 BZU786467:BZU786471 CJQ786467:CJQ786471 CTM786467:CTM786471 DDI786467:DDI786471 DNE786467:DNE786471 DXA786467:DXA786471 EGW786467:EGW786471 EQS786467:EQS786471 FAO786467:FAO786471 FKK786467:FKK786471 FUG786467:FUG786471 GEC786467:GEC786471 GNY786467:GNY786471 GXU786467:GXU786471 HHQ786467:HHQ786471 HRM786467:HRM786471 IBI786467:IBI786471 ILE786467:ILE786471 IVA786467:IVA786471 JEW786467:JEW786471 JOS786467:JOS786471 JYO786467:JYO786471 KIK786467:KIK786471 KSG786467:KSG786471 LCC786467:LCC786471 LLY786467:LLY786471 LVU786467:LVU786471 MFQ786467:MFQ786471 MPM786467:MPM786471 MZI786467:MZI786471 NJE786467:NJE786471 NTA786467:NTA786471 OCW786467:OCW786471 OMS786467:OMS786471 OWO786467:OWO786471 PGK786467:PGK786471 PQG786467:PQG786471 QAC786467:QAC786471 QJY786467:QJY786471 QTU786467:QTU786471 RDQ786467:RDQ786471 RNM786467:RNM786471 RXI786467:RXI786471 SHE786467:SHE786471 SRA786467:SRA786471 TAW786467:TAW786471 TKS786467:TKS786471 TUO786467:TUO786471 UEK786467:UEK786471 UOG786467:UOG786471 UYC786467:UYC786471 VHY786467:VHY786471 VRU786467:VRU786471 WBQ786467:WBQ786471 WLM786467:WLM786471 WVI786467:WVI786471 A852003:A852007 IW852003:IW852007 SS852003:SS852007 ACO852003:ACO852007 AMK852003:AMK852007 AWG852003:AWG852007 BGC852003:BGC852007 BPY852003:BPY852007 BZU852003:BZU852007 CJQ852003:CJQ852007 CTM852003:CTM852007 DDI852003:DDI852007 DNE852003:DNE852007 DXA852003:DXA852007 EGW852003:EGW852007 EQS852003:EQS852007 FAO852003:FAO852007 FKK852003:FKK852007 FUG852003:FUG852007 GEC852003:GEC852007 GNY852003:GNY852007 GXU852003:GXU852007 HHQ852003:HHQ852007 HRM852003:HRM852007 IBI852003:IBI852007 ILE852003:ILE852007 IVA852003:IVA852007 JEW852003:JEW852007 JOS852003:JOS852007 JYO852003:JYO852007 KIK852003:KIK852007 KSG852003:KSG852007 LCC852003:LCC852007 LLY852003:LLY852007 LVU852003:LVU852007 MFQ852003:MFQ852007 MPM852003:MPM852007 MZI852003:MZI852007 NJE852003:NJE852007 NTA852003:NTA852007 OCW852003:OCW852007 OMS852003:OMS852007 OWO852003:OWO852007 PGK852003:PGK852007 PQG852003:PQG852007 QAC852003:QAC852007 QJY852003:QJY852007 QTU852003:QTU852007 RDQ852003:RDQ852007 RNM852003:RNM852007 RXI852003:RXI852007 SHE852003:SHE852007 SRA852003:SRA852007 TAW852003:TAW852007 TKS852003:TKS852007 TUO852003:TUO852007 UEK852003:UEK852007 UOG852003:UOG852007 UYC852003:UYC852007 VHY852003:VHY852007 VRU852003:VRU852007 WBQ852003:WBQ852007 WLM852003:WLM852007 WVI852003:WVI852007 A917539:A917543 IW917539:IW917543 SS917539:SS917543 ACO917539:ACO917543 AMK917539:AMK917543 AWG917539:AWG917543 BGC917539:BGC917543 BPY917539:BPY917543 BZU917539:BZU917543 CJQ917539:CJQ917543 CTM917539:CTM917543 DDI917539:DDI917543 DNE917539:DNE917543 DXA917539:DXA917543 EGW917539:EGW917543 EQS917539:EQS917543 FAO917539:FAO917543 FKK917539:FKK917543 FUG917539:FUG917543 GEC917539:GEC917543 GNY917539:GNY917543 GXU917539:GXU917543 HHQ917539:HHQ917543 HRM917539:HRM917543 IBI917539:IBI917543 ILE917539:ILE917543 IVA917539:IVA917543 JEW917539:JEW917543 JOS917539:JOS917543 JYO917539:JYO917543 KIK917539:KIK917543 KSG917539:KSG917543 LCC917539:LCC917543 LLY917539:LLY917543 LVU917539:LVU917543 MFQ917539:MFQ917543 MPM917539:MPM917543 MZI917539:MZI917543 NJE917539:NJE917543 NTA917539:NTA917543 OCW917539:OCW917543 OMS917539:OMS917543 OWO917539:OWO917543 PGK917539:PGK917543 PQG917539:PQG917543 QAC917539:QAC917543 QJY917539:QJY917543 QTU917539:QTU917543 RDQ917539:RDQ917543 RNM917539:RNM917543 RXI917539:RXI917543 SHE917539:SHE917543 SRA917539:SRA917543 TAW917539:TAW917543 TKS917539:TKS917543 TUO917539:TUO917543 UEK917539:UEK917543 UOG917539:UOG917543 UYC917539:UYC917543 VHY917539:VHY917543 VRU917539:VRU917543 WBQ917539:WBQ917543 WLM917539:WLM917543 WVI917539:WVI917543 A983075:A983079 IW983075:IW983079 SS983075:SS983079 ACO983075:ACO983079 AMK983075:AMK983079 AWG983075:AWG983079 BGC983075:BGC983079 BPY983075:BPY983079 BZU983075:BZU983079 CJQ983075:CJQ983079 CTM983075:CTM983079 DDI983075:DDI983079 DNE983075:DNE983079 DXA983075:DXA983079 EGW983075:EGW983079 EQS983075:EQS983079 FAO983075:FAO983079 FKK983075:FKK983079 FUG983075:FUG983079 GEC983075:GEC983079 GNY983075:GNY983079 GXU983075:GXU983079 HHQ983075:HHQ983079 HRM983075:HRM983079 IBI983075:IBI983079 ILE983075:ILE983079 IVA983075:IVA983079 JEW983075:JEW983079 JOS983075:JOS983079 JYO983075:JYO983079 KIK983075:KIK983079 KSG983075:KSG983079 LCC983075:LCC983079 LLY983075:LLY983079 LVU983075:LVU983079 MFQ983075:MFQ983079 MPM983075:MPM983079 MZI983075:MZI983079 NJE983075:NJE983079 NTA983075:NTA983079 OCW983075:OCW983079 OMS983075:OMS983079 OWO983075:OWO983079 PGK983075:PGK983079 PQG983075:PQG983079 QAC983075:QAC983079 QJY983075:QJY983079 QTU983075:QTU983079 RDQ983075:RDQ983079 RNM983075:RNM983079 RXI983075:RXI983079 SHE983075:SHE983079 SRA983075:SRA983079 TAW983075:TAW983079 TKS983075:TKS983079 TUO983075:TUO983079 UEK983075:UEK983079 UOG983075:UOG983079 UYC983075:UYC983079 VHY983075:VHY983079 VRU983075:VRU983079 WBQ983075:WBQ983079 WLM983075:WLM983079 WVI983075:WVI983079" xr:uid="{6C9C4216-CED4-45EA-A3FD-9538D7135B42}">
      <formula1>IF(SUM(A1:A33)=0,1,0)</formula1>
    </dataValidation>
    <dataValidation type="custom" allowBlank="1" showInputMessage="1" showErrorMessage="1" errorTitle="Error" error="Too Many Data Points.  Add more rows per the instructions at the top of the sheet." sqref="A534 IW534 SS534 ACO534 AMK534 AWG534 BGC534 BPY534 BZU534 CJQ534 CTM534 DDI534 DNE534 DXA534 EGW534 EQS534 FAO534 FKK534 FUG534 GEC534 GNY534 GXU534 HHQ534 HRM534 IBI534 ILE534 IVA534 JEW534 JOS534 JYO534 KIK534 KSG534 LCC534 LLY534 LVU534 MFQ534 MPM534 MZI534 NJE534 NTA534 OCW534 OMS534 OWO534 PGK534 PQG534 QAC534 QJY534 QTU534 RDQ534 RNM534 RXI534 SHE534 SRA534 TAW534 TKS534 TUO534 UEK534 UOG534 UYC534 VHY534 VRU534 WBQ534 WLM534 WVI534 A65704 IW65704 SS65704 ACO65704 AMK65704 AWG65704 BGC65704 BPY65704 BZU65704 CJQ65704 CTM65704 DDI65704 DNE65704 DXA65704 EGW65704 EQS65704 FAO65704 FKK65704 FUG65704 GEC65704 GNY65704 GXU65704 HHQ65704 HRM65704 IBI65704 ILE65704 IVA65704 JEW65704 JOS65704 JYO65704 KIK65704 KSG65704 LCC65704 LLY65704 LVU65704 MFQ65704 MPM65704 MZI65704 NJE65704 NTA65704 OCW65704 OMS65704 OWO65704 PGK65704 PQG65704 QAC65704 QJY65704 QTU65704 RDQ65704 RNM65704 RXI65704 SHE65704 SRA65704 TAW65704 TKS65704 TUO65704 UEK65704 UOG65704 UYC65704 VHY65704 VRU65704 WBQ65704 WLM65704 WVI65704 A131240 IW131240 SS131240 ACO131240 AMK131240 AWG131240 BGC131240 BPY131240 BZU131240 CJQ131240 CTM131240 DDI131240 DNE131240 DXA131240 EGW131240 EQS131240 FAO131240 FKK131240 FUG131240 GEC131240 GNY131240 GXU131240 HHQ131240 HRM131240 IBI131240 ILE131240 IVA131240 JEW131240 JOS131240 JYO131240 KIK131240 KSG131240 LCC131240 LLY131240 LVU131240 MFQ131240 MPM131240 MZI131240 NJE131240 NTA131240 OCW131240 OMS131240 OWO131240 PGK131240 PQG131240 QAC131240 QJY131240 QTU131240 RDQ131240 RNM131240 RXI131240 SHE131240 SRA131240 TAW131240 TKS131240 TUO131240 UEK131240 UOG131240 UYC131240 VHY131240 VRU131240 WBQ131240 WLM131240 WVI131240 A196776 IW196776 SS196776 ACO196776 AMK196776 AWG196776 BGC196776 BPY196776 BZU196776 CJQ196776 CTM196776 DDI196776 DNE196776 DXA196776 EGW196776 EQS196776 FAO196776 FKK196776 FUG196776 GEC196776 GNY196776 GXU196776 HHQ196776 HRM196776 IBI196776 ILE196776 IVA196776 JEW196776 JOS196776 JYO196776 KIK196776 KSG196776 LCC196776 LLY196776 LVU196776 MFQ196776 MPM196776 MZI196776 NJE196776 NTA196776 OCW196776 OMS196776 OWO196776 PGK196776 PQG196776 QAC196776 QJY196776 QTU196776 RDQ196776 RNM196776 RXI196776 SHE196776 SRA196776 TAW196776 TKS196776 TUO196776 UEK196776 UOG196776 UYC196776 VHY196776 VRU196776 WBQ196776 WLM196776 WVI196776 A262312 IW262312 SS262312 ACO262312 AMK262312 AWG262312 BGC262312 BPY262312 BZU262312 CJQ262312 CTM262312 DDI262312 DNE262312 DXA262312 EGW262312 EQS262312 FAO262312 FKK262312 FUG262312 GEC262312 GNY262312 GXU262312 HHQ262312 HRM262312 IBI262312 ILE262312 IVA262312 JEW262312 JOS262312 JYO262312 KIK262312 KSG262312 LCC262312 LLY262312 LVU262312 MFQ262312 MPM262312 MZI262312 NJE262312 NTA262312 OCW262312 OMS262312 OWO262312 PGK262312 PQG262312 QAC262312 QJY262312 QTU262312 RDQ262312 RNM262312 RXI262312 SHE262312 SRA262312 TAW262312 TKS262312 TUO262312 UEK262312 UOG262312 UYC262312 VHY262312 VRU262312 WBQ262312 WLM262312 WVI262312 A327848 IW327848 SS327848 ACO327848 AMK327848 AWG327848 BGC327848 BPY327848 BZU327848 CJQ327848 CTM327848 DDI327848 DNE327848 DXA327848 EGW327848 EQS327848 FAO327848 FKK327848 FUG327848 GEC327848 GNY327848 GXU327848 HHQ327848 HRM327848 IBI327848 ILE327848 IVA327848 JEW327848 JOS327848 JYO327848 KIK327848 KSG327848 LCC327848 LLY327848 LVU327848 MFQ327848 MPM327848 MZI327848 NJE327848 NTA327848 OCW327848 OMS327848 OWO327848 PGK327848 PQG327848 QAC327848 QJY327848 QTU327848 RDQ327848 RNM327848 RXI327848 SHE327848 SRA327848 TAW327848 TKS327848 TUO327848 UEK327848 UOG327848 UYC327848 VHY327848 VRU327848 WBQ327848 WLM327848 WVI327848 A393384 IW393384 SS393384 ACO393384 AMK393384 AWG393384 BGC393384 BPY393384 BZU393384 CJQ393384 CTM393384 DDI393384 DNE393384 DXA393384 EGW393384 EQS393384 FAO393384 FKK393384 FUG393384 GEC393384 GNY393384 GXU393384 HHQ393384 HRM393384 IBI393384 ILE393384 IVA393384 JEW393384 JOS393384 JYO393384 KIK393384 KSG393384 LCC393384 LLY393384 LVU393384 MFQ393384 MPM393384 MZI393384 NJE393384 NTA393384 OCW393384 OMS393384 OWO393384 PGK393384 PQG393384 QAC393384 QJY393384 QTU393384 RDQ393384 RNM393384 RXI393384 SHE393384 SRA393384 TAW393384 TKS393384 TUO393384 UEK393384 UOG393384 UYC393384 VHY393384 VRU393384 WBQ393384 WLM393384 WVI393384 A458920 IW458920 SS458920 ACO458920 AMK458920 AWG458920 BGC458920 BPY458920 BZU458920 CJQ458920 CTM458920 DDI458920 DNE458920 DXA458920 EGW458920 EQS458920 FAO458920 FKK458920 FUG458920 GEC458920 GNY458920 GXU458920 HHQ458920 HRM458920 IBI458920 ILE458920 IVA458920 JEW458920 JOS458920 JYO458920 KIK458920 KSG458920 LCC458920 LLY458920 LVU458920 MFQ458920 MPM458920 MZI458920 NJE458920 NTA458920 OCW458920 OMS458920 OWO458920 PGK458920 PQG458920 QAC458920 QJY458920 QTU458920 RDQ458920 RNM458920 RXI458920 SHE458920 SRA458920 TAW458920 TKS458920 TUO458920 UEK458920 UOG458920 UYC458920 VHY458920 VRU458920 WBQ458920 WLM458920 WVI458920 A524456 IW524456 SS524456 ACO524456 AMK524456 AWG524456 BGC524456 BPY524456 BZU524456 CJQ524456 CTM524456 DDI524456 DNE524456 DXA524456 EGW524456 EQS524456 FAO524456 FKK524456 FUG524456 GEC524456 GNY524456 GXU524456 HHQ524456 HRM524456 IBI524456 ILE524456 IVA524456 JEW524456 JOS524456 JYO524456 KIK524456 KSG524456 LCC524456 LLY524456 LVU524456 MFQ524456 MPM524456 MZI524456 NJE524456 NTA524456 OCW524456 OMS524456 OWO524456 PGK524456 PQG524456 QAC524456 QJY524456 QTU524456 RDQ524456 RNM524456 RXI524456 SHE524456 SRA524456 TAW524456 TKS524456 TUO524456 UEK524456 UOG524456 UYC524456 VHY524456 VRU524456 WBQ524456 WLM524456 WVI524456 A589992 IW589992 SS589992 ACO589992 AMK589992 AWG589992 BGC589992 BPY589992 BZU589992 CJQ589992 CTM589992 DDI589992 DNE589992 DXA589992 EGW589992 EQS589992 FAO589992 FKK589992 FUG589992 GEC589992 GNY589992 GXU589992 HHQ589992 HRM589992 IBI589992 ILE589992 IVA589992 JEW589992 JOS589992 JYO589992 KIK589992 KSG589992 LCC589992 LLY589992 LVU589992 MFQ589992 MPM589992 MZI589992 NJE589992 NTA589992 OCW589992 OMS589992 OWO589992 PGK589992 PQG589992 QAC589992 QJY589992 QTU589992 RDQ589992 RNM589992 RXI589992 SHE589992 SRA589992 TAW589992 TKS589992 TUO589992 UEK589992 UOG589992 UYC589992 VHY589992 VRU589992 WBQ589992 WLM589992 WVI589992 A655528 IW655528 SS655528 ACO655528 AMK655528 AWG655528 BGC655528 BPY655528 BZU655528 CJQ655528 CTM655528 DDI655528 DNE655528 DXA655528 EGW655528 EQS655528 FAO655528 FKK655528 FUG655528 GEC655528 GNY655528 GXU655528 HHQ655528 HRM655528 IBI655528 ILE655528 IVA655528 JEW655528 JOS655528 JYO655528 KIK655528 KSG655528 LCC655528 LLY655528 LVU655528 MFQ655528 MPM655528 MZI655528 NJE655528 NTA655528 OCW655528 OMS655528 OWO655528 PGK655528 PQG655528 QAC655528 QJY655528 QTU655528 RDQ655528 RNM655528 RXI655528 SHE655528 SRA655528 TAW655528 TKS655528 TUO655528 UEK655528 UOG655528 UYC655528 VHY655528 VRU655528 WBQ655528 WLM655528 WVI655528 A721064 IW721064 SS721064 ACO721064 AMK721064 AWG721064 BGC721064 BPY721064 BZU721064 CJQ721064 CTM721064 DDI721064 DNE721064 DXA721064 EGW721064 EQS721064 FAO721064 FKK721064 FUG721064 GEC721064 GNY721064 GXU721064 HHQ721064 HRM721064 IBI721064 ILE721064 IVA721064 JEW721064 JOS721064 JYO721064 KIK721064 KSG721064 LCC721064 LLY721064 LVU721064 MFQ721064 MPM721064 MZI721064 NJE721064 NTA721064 OCW721064 OMS721064 OWO721064 PGK721064 PQG721064 QAC721064 QJY721064 QTU721064 RDQ721064 RNM721064 RXI721064 SHE721064 SRA721064 TAW721064 TKS721064 TUO721064 UEK721064 UOG721064 UYC721064 VHY721064 VRU721064 WBQ721064 WLM721064 WVI721064 A786600 IW786600 SS786600 ACO786600 AMK786600 AWG786600 BGC786600 BPY786600 BZU786600 CJQ786600 CTM786600 DDI786600 DNE786600 DXA786600 EGW786600 EQS786600 FAO786600 FKK786600 FUG786600 GEC786600 GNY786600 GXU786600 HHQ786600 HRM786600 IBI786600 ILE786600 IVA786600 JEW786600 JOS786600 JYO786600 KIK786600 KSG786600 LCC786600 LLY786600 LVU786600 MFQ786600 MPM786600 MZI786600 NJE786600 NTA786600 OCW786600 OMS786600 OWO786600 PGK786600 PQG786600 QAC786600 QJY786600 QTU786600 RDQ786600 RNM786600 RXI786600 SHE786600 SRA786600 TAW786600 TKS786600 TUO786600 UEK786600 UOG786600 UYC786600 VHY786600 VRU786600 WBQ786600 WLM786600 WVI786600 A852136 IW852136 SS852136 ACO852136 AMK852136 AWG852136 BGC852136 BPY852136 BZU852136 CJQ852136 CTM852136 DDI852136 DNE852136 DXA852136 EGW852136 EQS852136 FAO852136 FKK852136 FUG852136 GEC852136 GNY852136 GXU852136 HHQ852136 HRM852136 IBI852136 ILE852136 IVA852136 JEW852136 JOS852136 JYO852136 KIK852136 KSG852136 LCC852136 LLY852136 LVU852136 MFQ852136 MPM852136 MZI852136 NJE852136 NTA852136 OCW852136 OMS852136 OWO852136 PGK852136 PQG852136 QAC852136 QJY852136 QTU852136 RDQ852136 RNM852136 RXI852136 SHE852136 SRA852136 TAW852136 TKS852136 TUO852136 UEK852136 UOG852136 UYC852136 VHY852136 VRU852136 WBQ852136 WLM852136 WVI852136 A917672 IW917672 SS917672 ACO917672 AMK917672 AWG917672 BGC917672 BPY917672 BZU917672 CJQ917672 CTM917672 DDI917672 DNE917672 DXA917672 EGW917672 EQS917672 FAO917672 FKK917672 FUG917672 GEC917672 GNY917672 GXU917672 HHQ917672 HRM917672 IBI917672 ILE917672 IVA917672 JEW917672 JOS917672 JYO917672 KIK917672 KSG917672 LCC917672 LLY917672 LVU917672 MFQ917672 MPM917672 MZI917672 NJE917672 NTA917672 OCW917672 OMS917672 OWO917672 PGK917672 PQG917672 QAC917672 QJY917672 QTU917672 RDQ917672 RNM917672 RXI917672 SHE917672 SRA917672 TAW917672 TKS917672 TUO917672 UEK917672 UOG917672 UYC917672 VHY917672 VRU917672 WBQ917672 WLM917672 WVI917672 A983208 IW983208 SS983208 ACO983208 AMK983208 AWG983208 BGC983208 BPY983208 BZU983208 CJQ983208 CTM983208 DDI983208 DNE983208 DXA983208 EGW983208 EQS983208 FAO983208 FKK983208 FUG983208 GEC983208 GNY983208 GXU983208 HHQ983208 HRM983208 IBI983208 ILE983208 IVA983208 JEW983208 JOS983208 JYO983208 KIK983208 KSG983208 LCC983208 LLY983208 LVU983208 MFQ983208 MPM983208 MZI983208 NJE983208 NTA983208 OCW983208 OMS983208 OWO983208 PGK983208 PQG983208 QAC983208 QJY983208 QTU983208 RDQ983208 RNM983208 RXI983208 SHE983208 SRA983208 TAW983208 TKS983208 TUO983208 UEK983208 UOG983208 UYC983208 VHY983208 VRU983208 WBQ983208 WLM983208 WVI983208" xr:uid="{C5E6689C-485D-4A99-9663-E9013BC4ABD8}">
      <formula1>IF(COUNT(A534)=0,1,0)</formula1>
    </dataValidation>
  </dataValidations>
  <hyperlinks>
    <hyperlink ref="I2" r:id="rId1" xr:uid="{FF508CF4-2116-4CB7-B755-B006206D9250}"/>
    <hyperlink ref="K2" r:id="rId2" xr:uid="{C9998F50-CDAB-426D-BBF1-A20466CBF51F}"/>
    <hyperlink ref="K4" r:id="rId3" xr:uid="{B7916B8E-B0FF-49C3-B242-F14A52C99353}"/>
  </hyperlinks>
  <pageMargins left="0.70866141732283472" right="0.70866141732283472" top="0.74803149606299213" bottom="0.74803149606299213" header="0.31496062992125984" footer="0.31496062992125984"/>
  <pageSetup paperSize="9" scale="10" orientation="landscape" r:id="rId4"/>
  <drawing r:id="rId5"/>
  <legacyDrawing r:id="rId6"/>
  <oleObjects>
    <mc:AlternateContent xmlns:mc="http://schemas.openxmlformats.org/markup-compatibility/2006">
      <mc:Choice Requires="x14">
        <oleObject progId="Equation.3" shapeId="103425" r:id="rId7">
          <objectPr defaultSize="0" autoPict="0" r:id="rId8">
            <anchor moveWithCells="1">
              <from>
                <xdr:col>7</xdr:col>
                <xdr:colOff>95250</xdr:colOff>
                <xdr:row>22</xdr:row>
                <xdr:rowOff>57150</xdr:rowOff>
              </from>
              <to>
                <xdr:col>12</xdr:col>
                <xdr:colOff>95250</xdr:colOff>
                <xdr:row>24</xdr:row>
                <xdr:rowOff>95250</xdr:rowOff>
              </to>
            </anchor>
          </objectPr>
        </oleObject>
      </mc:Choice>
      <mc:Fallback>
        <oleObject progId="Equation.3" shapeId="103425" r:id="rId7"/>
      </mc:Fallback>
    </mc:AlternateContent>
    <mc:AlternateContent xmlns:mc="http://schemas.openxmlformats.org/markup-compatibility/2006">
      <mc:Choice Requires="x14">
        <oleObject progId="Equation.3" shapeId="103426" r:id="rId9">
          <objectPr defaultSize="0" autoPict="0" r:id="rId10">
            <anchor moveWithCells="1">
              <from>
                <xdr:col>7</xdr:col>
                <xdr:colOff>95250</xdr:colOff>
                <xdr:row>25</xdr:row>
                <xdr:rowOff>57150</xdr:rowOff>
              </from>
              <to>
                <xdr:col>10</xdr:col>
                <xdr:colOff>133350</xdr:colOff>
                <xdr:row>27</xdr:row>
                <xdr:rowOff>114300</xdr:rowOff>
              </to>
            </anchor>
          </objectPr>
        </oleObject>
      </mc:Choice>
      <mc:Fallback>
        <oleObject progId="Equation.3" shapeId="103426" r:id="rId9"/>
      </mc:Fallback>
    </mc:AlternateContent>
  </oleObjec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E77AA-5BFD-4CE6-8C77-FC4F357AB7EE}">
  <sheetPr>
    <pageSetUpPr fitToPage="1"/>
  </sheetPr>
  <dimension ref="A1:M50"/>
  <sheetViews>
    <sheetView zoomScaleNormal="100" workbookViewId="0"/>
  </sheetViews>
  <sheetFormatPr defaultColWidth="8.7109375" defaultRowHeight="15"/>
  <cols>
    <col min="1" max="8" width="8.7109375" style="91"/>
    <col min="9" max="9" width="19.42578125" style="91" bestFit="1" customWidth="1"/>
    <col min="10" max="16384" width="8.7109375" style="91"/>
  </cols>
  <sheetData>
    <row r="1" spans="1:13">
      <c r="A1" s="243" t="s">
        <v>727</v>
      </c>
      <c r="B1" s="243" t="s">
        <v>728</v>
      </c>
      <c r="C1" s="243" t="s">
        <v>729</v>
      </c>
      <c r="D1" s="243" t="s">
        <v>730</v>
      </c>
      <c r="I1" s="277" t="s">
        <v>649</v>
      </c>
      <c r="J1" s="37" t="s">
        <v>727</v>
      </c>
      <c r="K1" s="37" t="s">
        <v>728</v>
      </c>
      <c r="L1" s="37" t="s">
        <v>729</v>
      </c>
      <c r="M1" s="37" t="s">
        <v>730</v>
      </c>
    </row>
    <row r="2" spans="1:13">
      <c r="A2" s="37">
        <v>3</v>
      </c>
      <c r="B2" s="38">
        <v>1</v>
      </c>
      <c r="C2" s="38">
        <v>6</v>
      </c>
      <c r="D2" s="38">
        <v>6</v>
      </c>
      <c r="I2" s="97" t="s">
        <v>731</v>
      </c>
      <c r="J2" s="278">
        <f>QUARTILE(A:A,1)</f>
        <v>6</v>
      </c>
      <c r="K2" s="278">
        <f>QUARTILE(B:B,1)</f>
        <v>3</v>
      </c>
      <c r="L2" s="278">
        <f>QUARTILE(C:C,1)</f>
        <v>4.75</v>
      </c>
      <c r="M2" s="278">
        <f>QUARTILE(D:D,1)</f>
        <v>6</v>
      </c>
    </row>
    <row r="3" spans="1:13">
      <c r="A3" s="37">
        <v>4</v>
      </c>
      <c r="B3" s="38">
        <v>2</v>
      </c>
      <c r="C3" s="38">
        <v>7</v>
      </c>
      <c r="D3" s="38">
        <v>7</v>
      </c>
      <c r="I3" s="97" t="s">
        <v>656</v>
      </c>
      <c r="J3" s="278">
        <f>MIN(A:A)</f>
        <v>1</v>
      </c>
      <c r="K3" s="278">
        <f>MIN(B:B)</f>
        <v>1</v>
      </c>
      <c r="L3" s="278">
        <f>MIN(C:C)</f>
        <v>0</v>
      </c>
      <c r="M3" s="278">
        <f>MIN(D:D)</f>
        <v>2</v>
      </c>
    </row>
    <row r="4" spans="1:13">
      <c r="A4" s="37">
        <v>5</v>
      </c>
      <c r="B4" s="38">
        <v>3</v>
      </c>
      <c r="C4" s="38">
        <v>8</v>
      </c>
      <c r="D4" s="38">
        <v>8</v>
      </c>
      <c r="I4" s="97" t="s">
        <v>653</v>
      </c>
      <c r="J4" s="278">
        <f>MEDIAN(A:A)</f>
        <v>8</v>
      </c>
      <c r="K4" s="278">
        <f>MEDIAN(B:B)</f>
        <v>5.5</v>
      </c>
      <c r="L4" s="278">
        <f>MEDIAN(C:C)</f>
        <v>7</v>
      </c>
      <c r="M4" s="278">
        <f>MEDIAN(D:D)</f>
        <v>7</v>
      </c>
    </row>
    <row r="5" spans="1:13">
      <c r="A5" s="37">
        <v>6</v>
      </c>
      <c r="B5" s="38">
        <v>4</v>
      </c>
      <c r="C5" s="38">
        <v>9</v>
      </c>
      <c r="D5" s="38">
        <v>6</v>
      </c>
      <c r="I5" s="97" t="s">
        <v>657</v>
      </c>
      <c r="J5" s="278">
        <f>MAX(A:A)</f>
        <v>13</v>
      </c>
      <c r="K5" s="278">
        <f>MAX(B:B)</f>
        <v>15</v>
      </c>
      <c r="L5" s="278">
        <f>MAX(C:C)</f>
        <v>15</v>
      </c>
      <c r="M5" s="278">
        <f>MAX(D:D)</f>
        <v>14</v>
      </c>
    </row>
    <row r="6" spans="1:13">
      <c r="A6" s="37">
        <v>7</v>
      </c>
      <c r="B6" s="38">
        <v>5</v>
      </c>
      <c r="C6" s="38">
        <v>10</v>
      </c>
      <c r="D6" s="38">
        <v>7</v>
      </c>
      <c r="I6" s="97" t="s">
        <v>732</v>
      </c>
      <c r="J6" s="278">
        <f>QUARTILE(A:A,3)</f>
        <v>10</v>
      </c>
      <c r="K6" s="278">
        <f>QUARTILE(B:B,3)</f>
        <v>8.75</v>
      </c>
      <c r="L6" s="278">
        <f>QUARTILE(C:C,3)</f>
        <v>10.25</v>
      </c>
      <c r="M6" s="278">
        <f>QUARTILE(D:D,3)</f>
        <v>9.5</v>
      </c>
    </row>
    <row r="7" spans="1:13">
      <c r="A7" s="37">
        <v>8</v>
      </c>
      <c r="B7" s="38">
        <v>6</v>
      </c>
      <c r="C7" s="38">
        <v>11</v>
      </c>
      <c r="D7" s="38">
        <v>8</v>
      </c>
    </row>
    <row r="8" spans="1:13">
      <c r="A8" s="37">
        <v>9</v>
      </c>
      <c r="B8" s="38">
        <v>7</v>
      </c>
      <c r="C8" s="38">
        <v>12</v>
      </c>
      <c r="D8" s="38">
        <v>9</v>
      </c>
    </row>
    <row r="9" spans="1:13">
      <c r="A9" s="37">
        <v>10</v>
      </c>
      <c r="B9" s="38">
        <v>1</v>
      </c>
      <c r="C9" s="38">
        <v>13</v>
      </c>
      <c r="D9" s="38">
        <v>10</v>
      </c>
    </row>
    <row r="10" spans="1:13">
      <c r="A10" s="37">
        <v>11</v>
      </c>
      <c r="B10" s="38">
        <v>2</v>
      </c>
      <c r="C10" s="38">
        <v>14</v>
      </c>
      <c r="D10" s="38">
        <v>11</v>
      </c>
    </row>
    <row r="11" spans="1:13">
      <c r="A11" s="37">
        <v>12</v>
      </c>
      <c r="B11" s="38">
        <v>3</v>
      </c>
      <c r="C11" s="38">
        <v>15</v>
      </c>
      <c r="D11" s="38">
        <v>12</v>
      </c>
      <c r="E11" s="999"/>
    </row>
    <row r="12" spans="1:13">
      <c r="A12" s="37">
        <v>13</v>
      </c>
      <c r="B12" s="38">
        <v>6</v>
      </c>
      <c r="C12" s="38">
        <v>1</v>
      </c>
      <c r="D12" s="38">
        <v>13</v>
      </c>
    </row>
    <row r="13" spans="1:13">
      <c r="A13" s="37">
        <v>1</v>
      </c>
      <c r="B13" s="38">
        <v>7</v>
      </c>
      <c r="C13" s="38">
        <v>2</v>
      </c>
      <c r="D13" s="38">
        <v>14</v>
      </c>
    </row>
    <row r="14" spans="1:13">
      <c r="A14" s="37">
        <v>2</v>
      </c>
      <c r="B14" s="38">
        <v>8</v>
      </c>
      <c r="C14" s="38">
        <v>3</v>
      </c>
      <c r="D14" s="38">
        <v>4</v>
      </c>
    </row>
    <row r="15" spans="1:13">
      <c r="A15" s="37">
        <v>5</v>
      </c>
      <c r="B15" s="38">
        <v>9</v>
      </c>
      <c r="C15" s="38">
        <v>4</v>
      </c>
      <c r="D15" s="38">
        <v>5</v>
      </c>
    </row>
    <row r="16" spans="1:13">
      <c r="A16" s="37">
        <v>3</v>
      </c>
      <c r="B16" s="38">
        <v>1</v>
      </c>
      <c r="C16" s="38">
        <v>5</v>
      </c>
      <c r="D16" s="38">
        <v>6</v>
      </c>
    </row>
    <row r="17" spans="1:4">
      <c r="A17" s="37">
        <v>4</v>
      </c>
      <c r="B17" s="38">
        <v>2</v>
      </c>
      <c r="C17" s="38">
        <v>6</v>
      </c>
      <c r="D17" s="38">
        <v>7</v>
      </c>
    </row>
    <row r="18" spans="1:4">
      <c r="A18" s="37">
        <v>5</v>
      </c>
      <c r="B18" s="38">
        <v>11</v>
      </c>
      <c r="C18" s="38">
        <v>7</v>
      </c>
      <c r="D18" s="38">
        <v>8</v>
      </c>
    </row>
    <row r="19" spans="1:4">
      <c r="A19" s="37">
        <v>13</v>
      </c>
      <c r="B19" s="38">
        <v>13</v>
      </c>
      <c r="C19" s="38">
        <v>8</v>
      </c>
      <c r="D19" s="38">
        <v>9</v>
      </c>
    </row>
    <row r="20" spans="1:4">
      <c r="A20" s="37">
        <v>11</v>
      </c>
      <c r="B20" s="38">
        <v>14</v>
      </c>
      <c r="C20" s="38">
        <v>1</v>
      </c>
      <c r="D20" s="38">
        <v>12</v>
      </c>
    </row>
    <row r="21" spans="1:4">
      <c r="A21" s="37">
        <v>12</v>
      </c>
      <c r="B21" s="38">
        <v>1</v>
      </c>
      <c r="C21" s="38">
        <v>2</v>
      </c>
      <c r="D21" s="38">
        <v>13</v>
      </c>
    </row>
    <row r="22" spans="1:4">
      <c r="A22" s="37">
        <v>6</v>
      </c>
      <c r="B22" s="38">
        <v>2</v>
      </c>
      <c r="C22" s="38">
        <v>3</v>
      </c>
      <c r="D22" s="38">
        <v>14</v>
      </c>
    </row>
    <row r="23" spans="1:4">
      <c r="A23" s="37">
        <v>7</v>
      </c>
      <c r="B23" s="38">
        <v>2</v>
      </c>
      <c r="C23" s="38">
        <v>4</v>
      </c>
      <c r="D23" s="38">
        <v>4</v>
      </c>
    </row>
    <row r="24" spans="1:4">
      <c r="A24" s="37">
        <v>8</v>
      </c>
      <c r="B24" s="38">
        <v>3</v>
      </c>
      <c r="C24" s="38">
        <v>5</v>
      </c>
      <c r="D24" s="38">
        <v>5</v>
      </c>
    </row>
    <row r="25" spans="1:4">
      <c r="A25" s="37">
        <v>9</v>
      </c>
      <c r="B25" s="38">
        <v>4</v>
      </c>
      <c r="C25" s="38">
        <v>6</v>
      </c>
      <c r="D25" s="38">
        <v>6</v>
      </c>
    </row>
    <row r="26" spans="1:4">
      <c r="A26" s="37">
        <v>10</v>
      </c>
      <c r="B26" s="38">
        <v>5</v>
      </c>
      <c r="C26" s="38">
        <v>7</v>
      </c>
      <c r="D26" s="38">
        <v>7</v>
      </c>
    </row>
    <row r="27" spans="1:4">
      <c r="A27" s="37">
        <v>11</v>
      </c>
      <c r="B27" s="38">
        <v>6</v>
      </c>
      <c r="C27" s="38">
        <v>8</v>
      </c>
      <c r="D27" s="38">
        <v>8</v>
      </c>
    </row>
    <row r="28" spans="1:4">
      <c r="A28" s="37">
        <v>6</v>
      </c>
      <c r="B28" s="38">
        <v>3</v>
      </c>
      <c r="C28" s="38">
        <v>9</v>
      </c>
      <c r="D28" s="38">
        <v>2</v>
      </c>
    </row>
    <row r="29" spans="1:4">
      <c r="A29" s="37">
        <v>7</v>
      </c>
      <c r="B29" s="38">
        <v>4</v>
      </c>
      <c r="C29" s="38">
        <v>0</v>
      </c>
      <c r="D29" s="38">
        <v>3</v>
      </c>
    </row>
    <row r="30" spans="1:4">
      <c r="A30" s="37">
        <v>8</v>
      </c>
      <c r="B30" s="38">
        <v>5</v>
      </c>
      <c r="C30" s="38">
        <v>11</v>
      </c>
      <c r="D30" s="38">
        <v>4</v>
      </c>
    </row>
    <row r="31" spans="1:4">
      <c r="A31" s="37">
        <v>9</v>
      </c>
      <c r="B31" s="38">
        <v>6</v>
      </c>
      <c r="C31" s="38">
        <v>12</v>
      </c>
      <c r="D31" s="38">
        <v>5</v>
      </c>
    </row>
    <row r="32" spans="1:4">
      <c r="A32" s="37">
        <v>13</v>
      </c>
      <c r="B32" s="38">
        <v>7</v>
      </c>
      <c r="C32" s="38">
        <v>13</v>
      </c>
      <c r="D32" s="38">
        <v>6</v>
      </c>
    </row>
    <row r="33" spans="1:4">
      <c r="A33" s="37">
        <v>11</v>
      </c>
      <c r="B33" s="38">
        <v>10</v>
      </c>
      <c r="C33" s="38">
        <v>14</v>
      </c>
      <c r="D33" s="38">
        <v>7</v>
      </c>
    </row>
    <row r="34" spans="1:4">
      <c r="A34" s="37">
        <v>7</v>
      </c>
      <c r="B34" s="38">
        <v>11</v>
      </c>
      <c r="C34" s="38">
        <v>6</v>
      </c>
      <c r="D34" s="38">
        <v>8</v>
      </c>
    </row>
    <row r="35" spans="1:4">
      <c r="A35" s="37">
        <v>8</v>
      </c>
      <c r="B35" s="38">
        <v>12</v>
      </c>
      <c r="C35" s="38">
        <v>7</v>
      </c>
      <c r="D35" s="38">
        <v>9</v>
      </c>
    </row>
    <row r="36" spans="1:4">
      <c r="A36" s="37">
        <v>9</v>
      </c>
      <c r="B36" s="38">
        <v>13</v>
      </c>
      <c r="C36" s="38">
        <v>8</v>
      </c>
      <c r="D36" s="38">
        <v>10</v>
      </c>
    </row>
    <row r="37" spans="1:4">
      <c r="A37" s="37">
        <v>10</v>
      </c>
      <c r="B37" s="38">
        <v>14</v>
      </c>
      <c r="C37" s="38">
        <v>9</v>
      </c>
      <c r="D37" s="38"/>
    </row>
    <row r="38" spans="1:4">
      <c r="A38" s="37">
        <v>7</v>
      </c>
      <c r="B38" s="38">
        <v>15</v>
      </c>
      <c r="C38" s="38">
        <v>10</v>
      </c>
      <c r="D38" s="38"/>
    </row>
    <row r="39" spans="1:4">
      <c r="A39" s="37">
        <v>8</v>
      </c>
      <c r="B39" s="38">
        <v>2</v>
      </c>
      <c r="C39" s="38">
        <v>11</v>
      </c>
      <c r="D39" s="38"/>
    </row>
    <row r="40" spans="1:4">
      <c r="A40" s="37">
        <v>9</v>
      </c>
      <c r="B40" s="38">
        <v>3</v>
      </c>
      <c r="C40" s="38">
        <v>12</v>
      </c>
      <c r="D40" s="38"/>
    </row>
    <row r="41" spans="1:4">
      <c r="A41" s="37">
        <v>10</v>
      </c>
      <c r="B41" s="38">
        <v>4</v>
      </c>
      <c r="C41" s="38">
        <v>3</v>
      </c>
      <c r="D41" s="38"/>
    </row>
    <row r="42" spans="1:4">
      <c r="A42" s="37">
        <v>8</v>
      </c>
      <c r="B42" s="38">
        <v>5</v>
      </c>
      <c r="C42" s="38">
        <v>4</v>
      </c>
      <c r="D42" s="38"/>
    </row>
    <row r="43" spans="1:4">
      <c r="A43" s="37">
        <v>9</v>
      </c>
      <c r="B43" s="38">
        <v>6</v>
      </c>
      <c r="C43" s="38">
        <v>5</v>
      </c>
      <c r="D43" s="38"/>
    </row>
    <row r="44" spans="1:4">
      <c r="A44" s="37"/>
      <c r="B44" s="38">
        <v>7</v>
      </c>
      <c r="C44" s="38">
        <v>6</v>
      </c>
      <c r="D44" s="38"/>
    </row>
    <row r="45" spans="1:4">
      <c r="A45" s="37"/>
      <c r="B45" s="38">
        <v>8</v>
      </c>
      <c r="C45" s="38">
        <v>7</v>
      </c>
      <c r="D45" s="38"/>
    </row>
    <row r="46" spans="1:4">
      <c r="A46" s="37"/>
      <c r="B46" s="38">
        <v>9</v>
      </c>
      <c r="C46" s="38"/>
      <c r="D46" s="38"/>
    </row>
    <row r="47" spans="1:4">
      <c r="A47" s="37"/>
      <c r="B47" s="38">
        <v>10</v>
      </c>
      <c r="C47" s="38"/>
      <c r="D47" s="38"/>
    </row>
    <row r="48" spans="1:4">
      <c r="A48" s="37"/>
      <c r="B48" s="38"/>
      <c r="C48" s="38"/>
      <c r="D48" s="38"/>
    </row>
    <row r="49" spans="1:4">
      <c r="A49" s="37"/>
      <c r="B49" s="38"/>
      <c r="C49" s="38"/>
      <c r="D49" s="38"/>
    </row>
    <row r="50" spans="1:4">
      <c r="A50" s="37"/>
      <c r="B50" s="38"/>
      <c r="C50" s="38"/>
      <c r="D50" s="38"/>
    </row>
  </sheetData>
  <pageMargins left="0.70866141732283472" right="0.70866141732283472" top="0.74803149606299213" bottom="0.74803149606299213" header="0.31496062992125984" footer="0.31496062992125984"/>
  <pageSetup paperSize="9" scale="67" orientation="landscape" horizontalDpi="0" verticalDpi="0"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M64"/>
  <sheetViews>
    <sheetView zoomScaleNormal="100" workbookViewId="0">
      <selection activeCell="D9" sqref="D9"/>
    </sheetView>
  </sheetViews>
  <sheetFormatPr defaultColWidth="8.7109375" defaultRowHeight="15"/>
  <cols>
    <col min="1" max="8" width="8.7109375" style="91"/>
    <col min="9" max="9" width="19.42578125" style="91" bestFit="1" customWidth="1"/>
    <col min="10" max="16384" width="8.7109375" style="91"/>
  </cols>
  <sheetData>
    <row r="1" spans="1:13">
      <c r="A1" s="1193" t="s">
        <v>733</v>
      </c>
      <c r="B1" s="1193" t="s">
        <v>734</v>
      </c>
      <c r="C1" s="243" t="s">
        <v>729</v>
      </c>
      <c r="D1" s="243" t="s">
        <v>730</v>
      </c>
      <c r="I1" s="277" t="s">
        <v>649</v>
      </c>
      <c r="J1" s="37" t="s">
        <v>727</v>
      </c>
      <c r="K1" s="37" t="s">
        <v>728</v>
      </c>
      <c r="L1" s="37" t="s">
        <v>729</v>
      </c>
      <c r="M1" s="37" t="s">
        <v>730</v>
      </c>
    </row>
    <row r="2" spans="1:13">
      <c r="A2" s="38">
        <v>19.3</v>
      </c>
      <c r="B2" s="38">
        <v>20.59</v>
      </c>
      <c r="C2" s="38"/>
      <c r="D2" s="38"/>
      <c r="I2" s="97" t="s">
        <v>731</v>
      </c>
      <c r="J2" s="278">
        <f>QUARTILE(A:A,1)</f>
        <v>20.18</v>
      </c>
      <c r="K2" s="278">
        <f>QUARTILE(B:B,1)</f>
        <v>20.407499999999999</v>
      </c>
      <c r="L2" s="278" t="e">
        <f>QUARTILE(C:C,1)</f>
        <v>#NUM!</v>
      </c>
      <c r="M2" s="278" t="e">
        <f>QUARTILE(D:D,1)</f>
        <v>#NUM!</v>
      </c>
    </row>
    <row r="3" spans="1:13">
      <c r="A3" s="38">
        <v>20.39</v>
      </c>
      <c r="B3" s="38">
        <v>27.15</v>
      </c>
      <c r="C3" s="38"/>
      <c r="D3" s="38"/>
      <c r="I3" s="97" t="s">
        <v>656</v>
      </c>
      <c r="J3" s="278">
        <f>MIN(A:A)</f>
        <v>16.57</v>
      </c>
      <c r="K3" s="278">
        <f>MIN(B:B)</f>
        <v>16.57</v>
      </c>
      <c r="L3" s="278">
        <f>MIN(C:C)</f>
        <v>0</v>
      </c>
      <c r="M3" s="278">
        <f>MIN(D:D)</f>
        <v>0</v>
      </c>
    </row>
    <row r="4" spans="1:13">
      <c r="A4" s="38">
        <v>26.34</v>
      </c>
      <c r="B4" s="38">
        <v>21.7</v>
      </c>
      <c r="C4" s="38"/>
      <c r="D4" s="38"/>
      <c r="I4" s="97" t="s">
        <v>653</v>
      </c>
      <c r="J4" s="278">
        <f>MEDIAN(A:A)</f>
        <v>21.7</v>
      </c>
      <c r="K4" s="278">
        <f>MEDIAN(B:B)</f>
        <v>21.759999999999998</v>
      </c>
      <c r="L4" s="278" t="e">
        <f>MEDIAN(C:C)</f>
        <v>#NUM!</v>
      </c>
      <c r="M4" s="278" t="e">
        <f>MEDIAN(D:D)</f>
        <v>#NUM!</v>
      </c>
    </row>
    <row r="5" spans="1:13">
      <c r="A5" s="38">
        <v>23.23</v>
      </c>
      <c r="B5" s="38">
        <v>19</v>
      </c>
      <c r="C5" s="38"/>
      <c r="D5" s="38"/>
      <c r="I5" s="97" t="s">
        <v>657</v>
      </c>
      <c r="J5" s="278">
        <f>MAX(A:A)</f>
        <v>27.15</v>
      </c>
      <c r="K5" s="278">
        <f>MAX(B:B)</f>
        <v>27.15</v>
      </c>
      <c r="L5" s="278">
        <f>MAX(C:C)</f>
        <v>0</v>
      </c>
      <c r="M5" s="278">
        <f>MAX(D:D)</f>
        <v>0</v>
      </c>
    </row>
    <row r="6" spans="1:13">
      <c r="A6" s="38">
        <v>25.71</v>
      </c>
      <c r="B6" s="38">
        <v>21.75</v>
      </c>
      <c r="C6" s="38"/>
      <c r="D6" s="38"/>
      <c r="I6" s="97" t="s">
        <v>732</v>
      </c>
      <c r="J6" s="278">
        <f>QUARTILE(A:A,3)</f>
        <v>23.48</v>
      </c>
      <c r="K6" s="278">
        <f>QUARTILE(B:B,3)</f>
        <v>23.177499999999998</v>
      </c>
      <c r="L6" s="278" t="e">
        <f>QUARTILE(C:C,3)</f>
        <v>#NUM!</v>
      </c>
      <c r="M6" s="278" t="e">
        <f>QUARTILE(D:D,3)</f>
        <v>#NUM!</v>
      </c>
    </row>
    <row r="7" spans="1:13">
      <c r="A7" s="38">
        <v>18.260000000000002</v>
      </c>
      <c r="B7" s="38">
        <v>22.48</v>
      </c>
      <c r="C7" s="38"/>
      <c r="D7" s="38"/>
    </row>
    <row r="8" spans="1:13">
      <c r="A8" s="38">
        <v>21.18</v>
      </c>
      <c r="B8" s="38">
        <v>16.57</v>
      </c>
      <c r="C8" s="38"/>
      <c r="D8" s="38"/>
    </row>
    <row r="9" spans="1:13">
      <c r="A9" s="38">
        <v>21.4</v>
      </c>
      <c r="B9" s="38">
        <v>22.33</v>
      </c>
      <c r="C9" s="38"/>
      <c r="D9" s="38"/>
    </row>
    <row r="10" spans="1:13">
      <c r="A10" s="38">
        <v>20.39</v>
      </c>
      <c r="B10" s="38">
        <v>18.5</v>
      </c>
      <c r="C10" s="38"/>
      <c r="D10" s="38"/>
    </row>
    <row r="11" spans="1:13">
      <c r="A11" s="38">
        <v>16.940000000000001</v>
      </c>
      <c r="B11" s="38">
        <v>25.7</v>
      </c>
      <c r="C11" s="38"/>
      <c r="D11" s="38"/>
      <c r="E11" s="999"/>
    </row>
    <row r="12" spans="1:13">
      <c r="A12" s="38">
        <v>22.57</v>
      </c>
      <c r="B12" s="38">
        <v>20.55</v>
      </c>
      <c r="C12" s="38"/>
      <c r="D12" s="38"/>
    </row>
    <row r="13" spans="1:13">
      <c r="A13" s="38">
        <v>22.84</v>
      </c>
      <c r="B13" s="38">
        <v>23.77</v>
      </c>
      <c r="C13" s="38"/>
      <c r="D13" s="38"/>
    </row>
    <row r="14" spans="1:13">
      <c r="A14" s="38">
        <v>21.84</v>
      </c>
      <c r="B14" s="38">
        <v>18.64</v>
      </c>
      <c r="C14" s="38"/>
      <c r="D14" s="38"/>
    </row>
    <row r="15" spans="1:13">
      <c r="A15" s="38">
        <v>24.1</v>
      </c>
      <c r="B15" s="38">
        <v>17.75</v>
      </c>
      <c r="C15" s="38"/>
      <c r="D15" s="38"/>
    </row>
    <row r="16" spans="1:13">
      <c r="A16" s="38">
        <v>20</v>
      </c>
      <c r="B16" s="38">
        <v>24.8</v>
      </c>
      <c r="C16" s="38"/>
      <c r="D16" s="38"/>
    </row>
    <row r="17" spans="1:4">
      <c r="A17" s="38">
        <v>20.88</v>
      </c>
      <c r="B17" s="38">
        <v>21.77</v>
      </c>
      <c r="C17" s="38"/>
      <c r="D17" s="38"/>
    </row>
    <row r="18" spans="1:4">
      <c r="A18" s="38">
        <v>18.96</v>
      </c>
      <c r="B18" s="38">
        <v>20.84</v>
      </c>
      <c r="C18" s="38"/>
      <c r="D18" s="38"/>
    </row>
    <row r="19" spans="1:4">
      <c r="A19" s="38">
        <v>25.07</v>
      </c>
      <c r="B19" s="38">
        <v>21.97</v>
      </c>
      <c r="C19" s="38"/>
      <c r="D19" s="38"/>
    </row>
    <row r="20" spans="1:4">
      <c r="A20" s="38">
        <v>19.54</v>
      </c>
      <c r="B20" s="38">
        <v>21.65</v>
      </c>
      <c r="C20" s="38"/>
      <c r="D20" s="38"/>
    </row>
    <row r="21" spans="1:4">
      <c r="A21" s="38">
        <v>24.76</v>
      </c>
      <c r="B21" s="38">
        <v>26.98</v>
      </c>
      <c r="C21" s="38"/>
      <c r="D21" s="38"/>
    </row>
    <row r="22" spans="1:4">
      <c r="A22" s="38">
        <v>18.989999999999998</v>
      </c>
      <c r="B22" s="38">
        <v>25.86</v>
      </c>
      <c r="C22" s="38"/>
      <c r="D22" s="38"/>
    </row>
    <row r="23" spans="1:4">
      <c r="A23" s="38">
        <v>20.64</v>
      </c>
      <c r="B23" s="38">
        <v>25.6</v>
      </c>
      <c r="C23" s="38"/>
      <c r="D23" s="38"/>
    </row>
    <row r="24" spans="1:4">
      <c r="A24" s="38">
        <v>23.72</v>
      </c>
      <c r="B24" s="38">
        <v>20.36</v>
      </c>
      <c r="C24" s="38"/>
      <c r="D24" s="38"/>
    </row>
    <row r="25" spans="1:4">
      <c r="A25" s="38">
        <v>23.67</v>
      </c>
      <c r="B25" s="38">
        <v>18.96</v>
      </c>
      <c r="C25" s="38"/>
      <c r="D25" s="38"/>
    </row>
    <row r="26" spans="1:4">
      <c r="A26" s="38">
        <v>22.58</v>
      </c>
      <c r="B26" s="38">
        <v>21.86</v>
      </c>
      <c r="C26" s="38"/>
      <c r="D26" s="38"/>
    </row>
    <row r="27" spans="1:4">
      <c r="A27" s="38">
        <v>19.77</v>
      </c>
      <c r="B27" s="38">
        <v>20.71</v>
      </c>
      <c r="C27" s="38"/>
      <c r="D27" s="38"/>
    </row>
    <row r="28" spans="1:4">
      <c r="A28" s="38">
        <v>26.26</v>
      </c>
      <c r="B28" s="38">
        <v>22.84</v>
      </c>
      <c r="C28" s="38"/>
      <c r="D28" s="38"/>
    </row>
    <row r="29" spans="1:4">
      <c r="A29" s="38">
        <v>21.61</v>
      </c>
      <c r="B29" s="38">
        <v>22.67</v>
      </c>
      <c r="C29" s="38"/>
      <c r="D29" s="38"/>
    </row>
    <row r="30" spans="1:4">
      <c r="A30" s="38">
        <v>19.11</v>
      </c>
      <c r="B30" s="38">
        <v>23.29</v>
      </c>
      <c r="C30" s="38"/>
      <c r="D30" s="38"/>
    </row>
    <row r="31" spans="1:4">
      <c r="A31" s="38">
        <v>22.8</v>
      </c>
      <c r="B31" s="38">
        <v>17.5</v>
      </c>
      <c r="C31" s="38"/>
      <c r="D31" s="38"/>
    </row>
    <row r="32" spans="1:4">
      <c r="A32" s="38">
        <v>23.93</v>
      </c>
      <c r="B32" s="38"/>
      <c r="C32" s="38"/>
      <c r="D32" s="38"/>
    </row>
    <row r="33" spans="1:4">
      <c r="A33" s="38">
        <v>21.32</v>
      </c>
      <c r="B33" s="38"/>
      <c r="C33" s="38"/>
      <c r="D33" s="38"/>
    </row>
    <row r="34" spans="1:4">
      <c r="A34" s="38">
        <v>20.37</v>
      </c>
      <c r="B34" s="38"/>
      <c r="C34" s="38"/>
      <c r="D34" s="38"/>
    </row>
    <row r="35" spans="1:4">
      <c r="A35" s="38">
        <v>20.59</v>
      </c>
      <c r="B35" s="38"/>
      <c r="C35" s="38"/>
      <c r="D35" s="38"/>
    </row>
    <row r="36" spans="1:4">
      <c r="A36" s="38">
        <v>27.15</v>
      </c>
      <c r="B36" s="38"/>
      <c r="C36" s="38"/>
      <c r="D36" s="38"/>
    </row>
    <row r="37" spans="1:4">
      <c r="A37" s="38">
        <v>21.7</v>
      </c>
      <c r="B37" s="38"/>
      <c r="C37" s="38"/>
      <c r="D37" s="38"/>
    </row>
    <row r="38" spans="1:4">
      <c r="A38" s="38">
        <v>19</v>
      </c>
      <c r="B38" s="38"/>
      <c r="C38" s="38"/>
      <c r="D38" s="38"/>
    </row>
    <row r="39" spans="1:4">
      <c r="A39" s="38">
        <v>21.75</v>
      </c>
      <c r="B39" s="38"/>
      <c r="C39" s="38"/>
      <c r="D39" s="38"/>
    </row>
    <row r="40" spans="1:4">
      <c r="A40" s="38">
        <v>22.48</v>
      </c>
      <c r="B40" s="38"/>
      <c r="C40" s="38"/>
      <c r="D40" s="38"/>
    </row>
    <row r="41" spans="1:4">
      <c r="A41" s="38">
        <v>16.57</v>
      </c>
      <c r="B41" s="38"/>
      <c r="C41" s="38"/>
      <c r="D41" s="38"/>
    </row>
    <row r="42" spans="1:4">
      <c r="A42" s="38">
        <v>22.33</v>
      </c>
      <c r="B42" s="38"/>
      <c r="C42" s="38"/>
      <c r="D42" s="38"/>
    </row>
    <row r="43" spans="1:4">
      <c r="A43" s="38">
        <v>18.5</v>
      </c>
      <c r="B43" s="38"/>
      <c r="C43" s="38"/>
      <c r="D43" s="38"/>
    </row>
    <row r="44" spans="1:4">
      <c r="A44" s="38">
        <v>25.7</v>
      </c>
      <c r="B44" s="38"/>
      <c r="C44" s="38"/>
      <c r="D44" s="38"/>
    </row>
    <row r="45" spans="1:4">
      <c r="A45" s="38">
        <v>20.55</v>
      </c>
      <c r="B45" s="38"/>
      <c r="C45" s="38"/>
      <c r="D45" s="38"/>
    </row>
    <row r="46" spans="1:4">
      <c r="A46" s="38">
        <v>23.77</v>
      </c>
      <c r="B46" s="38"/>
      <c r="C46" s="38"/>
      <c r="D46" s="38"/>
    </row>
    <row r="47" spans="1:4">
      <c r="A47" s="38">
        <v>18.64</v>
      </c>
      <c r="B47" s="38"/>
      <c r="C47" s="38"/>
      <c r="D47" s="38"/>
    </row>
    <row r="48" spans="1:4">
      <c r="A48" s="38">
        <v>17.75</v>
      </c>
      <c r="B48" s="38"/>
      <c r="C48" s="38"/>
      <c r="D48" s="38"/>
    </row>
    <row r="49" spans="1:4">
      <c r="A49" s="38">
        <v>24.8</v>
      </c>
      <c r="B49" s="38"/>
      <c r="C49" s="38"/>
      <c r="D49" s="38"/>
    </row>
    <row r="50" spans="1:4">
      <c r="A50" s="38">
        <v>21.77</v>
      </c>
      <c r="B50" s="38"/>
      <c r="C50" s="38"/>
      <c r="D50" s="38"/>
    </row>
    <row r="51" spans="1:4">
      <c r="A51" s="38">
        <v>20.84</v>
      </c>
      <c r="B51" s="38"/>
      <c r="C51" s="38"/>
      <c r="D51" s="38"/>
    </row>
    <row r="52" spans="1:4">
      <c r="A52" s="38">
        <v>21.97</v>
      </c>
      <c r="B52" s="38"/>
      <c r="C52" s="38"/>
      <c r="D52" s="38"/>
    </row>
    <row r="53" spans="1:4">
      <c r="A53" s="38">
        <v>21.65</v>
      </c>
      <c r="B53" s="38"/>
      <c r="C53" s="38"/>
      <c r="D53" s="38"/>
    </row>
    <row r="54" spans="1:4">
      <c r="A54" s="38">
        <v>26.98</v>
      </c>
      <c r="B54" s="38"/>
      <c r="C54" s="38"/>
      <c r="D54" s="38"/>
    </row>
    <row r="55" spans="1:4">
      <c r="A55" s="38">
        <v>25.86</v>
      </c>
      <c r="B55" s="38"/>
      <c r="C55" s="38"/>
      <c r="D55" s="38"/>
    </row>
    <row r="56" spans="1:4">
      <c r="A56" s="38">
        <v>25.6</v>
      </c>
      <c r="B56" s="38"/>
      <c r="C56" s="38"/>
      <c r="D56" s="38"/>
    </row>
    <row r="57" spans="1:4">
      <c r="A57" s="38">
        <v>20.36</v>
      </c>
      <c r="B57" s="38"/>
      <c r="C57" s="38"/>
      <c r="D57" s="38"/>
    </row>
    <row r="58" spans="1:4">
      <c r="A58" s="38">
        <v>18.96</v>
      </c>
      <c r="B58" s="38"/>
      <c r="C58" s="38"/>
      <c r="D58" s="38"/>
    </row>
    <row r="59" spans="1:4">
      <c r="A59" s="38">
        <v>21.86</v>
      </c>
      <c r="B59" s="38"/>
      <c r="C59" s="38"/>
      <c r="D59" s="38"/>
    </row>
    <row r="60" spans="1:4">
      <c r="A60" s="38">
        <v>20.71</v>
      </c>
      <c r="B60" s="38"/>
      <c r="C60" s="38"/>
      <c r="D60" s="38"/>
    </row>
    <row r="61" spans="1:4">
      <c r="A61" s="38">
        <v>22.84</v>
      </c>
      <c r="B61" s="38"/>
      <c r="C61" s="38"/>
      <c r="D61" s="38"/>
    </row>
    <row r="62" spans="1:4">
      <c r="A62" s="38">
        <v>22.67</v>
      </c>
      <c r="B62" s="38"/>
      <c r="C62" s="38"/>
      <c r="D62" s="38"/>
    </row>
    <row r="63" spans="1:4">
      <c r="A63" s="38">
        <v>23.29</v>
      </c>
      <c r="B63" s="38"/>
      <c r="C63" s="38"/>
      <c r="D63" s="38"/>
    </row>
    <row r="64" spans="1:4">
      <c r="A64" s="38">
        <v>17.5</v>
      </c>
      <c r="B64" s="38"/>
      <c r="C64" s="38"/>
      <c r="D64" s="38"/>
    </row>
  </sheetData>
  <pageMargins left="0.70866141732283472" right="0.70866141732283472" top="0.74803149606299213" bottom="0.74803149606299213" header="0.31496062992125984" footer="0.31496062992125984"/>
  <pageSetup paperSize="9" scale="67" orientation="landscape" horizontalDpi="0" verticalDpi="0" r:id="rId1"/>
  <customProperties>
    <customPr name="ORB_SHEETNAME" r:id="rId2"/>
  </customProperties>
  <drawing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pageSetUpPr fitToPage="1"/>
  </sheetPr>
  <dimension ref="A1:T39"/>
  <sheetViews>
    <sheetView zoomScaleNormal="100" workbookViewId="0"/>
  </sheetViews>
  <sheetFormatPr defaultColWidth="8.7109375" defaultRowHeight="15.75"/>
  <cols>
    <col min="1" max="1" width="3.7109375" style="106" customWidth="1"/>
    <col min="2" max="2" width="18.7109375" style="34" customWidth="1"/>
    <col min="3" max="16384" width="8.7109375" style="34"/>
  </cols>
  <sheetData>
    <row r="1" spans="2:20" s="106" customFormat="1">
      <c r="B1" s="1076"/>
      <c r="C1" s="1076"/>
      <c r="D1" s="1076"/>
      <c r="E1" s="1076"/>
      <c r="F1" s="1076"/>
      <c r="G1" s="1076"/>
      <c r="H1" s="1076"/>
      <c r="I1" s="1076"/>
      <c r="J1" s="1076"/>
      <c r="K1" s="1076"/>
      <c r="L1" s="1076"/>
      <c r="M1" s="1076"/>
      <c r="N1" s="1076"/>
      <c r="O1" s="1076"/>
      <c r="P1" s="1076"/>
      <c r="Q1" s="1076"/>
      <c r="R1" s="1076"/>
      <c r="S1" s="1076"/>
      <c r="T1" s="1076"/>
    </row>
    <row r="2" spans="2:20">
      <c r="B2" s="773" t="s">
        <v>735</v>
      </c>
      <c r="C2" s="1076"/>
      <c r="D2" s="1076"/>
      <c r="E2" s="1076"/>
      <c r="F2" s="1076"/>
      <c r="G2" s="1076"/>
      <c r="H2" s="1076"/>
      <c r="I2" s="1076"/>
      <c r="J2" s="1076"/>
      <c r="K2" s="1076"/>
      <c r="L2" s="1076"/>
      <c r="M2" s="1076"/>
      <c r="N2" s="1076"/>
      <c r="O2" s="1076"/>
      <c r="P2" s="1076"/>
      <c r="Q2" s="1076"/>
      <c r="R2" s="1076"/>
      <c r="S2" s="1076"/>
      <c r="T2" s="1076"/>
    </row>
    <row r="3" spans="2:20">
      <c r="B3" s="279" t="s">
        <v>173</v>
      </c>
      <c r="C3" s="279" t="s">
        <v>736</v>
      </c>
      <c r="D3" s="279" t="s">
        <v>737</v>
      </c>
      <c r="E3" s="279" t="s">
        <v>738</v>
      </c>
      <c r="F3" s="279" t="s">
        <v>739</v>
      </c>
      <c r="G3" s="1076"/>
      <c r="H3" s="1076"/>
      <c r="I3" s="1076"/>
      <c r="J3" s="1076"/>
      <c r="K3" s="1076"/>
      <c r="L3" s="1076"/>
      <c r="M3" s="1076"/>
      <c r="N3" s="1076"/>
      <c r="O3" s="1076"/>
      <c r="P3" s="1076"/>
      <c r="Q3" s="1076"/>
      <c r="R3" s="1076"/>
      <c r="S3" s="1076"/>
      <c r="T3" s="1076"/>
    </row>
    <row r="4" spans="2:20">
      <c r="B4" s="773" t="s">
        <v>740</v>
      </c>
      <c r="C4" s="773">
        <v>294</v>
      </c>
      <c r="D4" s="280">
        <f>C4</f>
        <v>294</v>
      </c>
      <c r="E4" s="281">
        <f t="shared" ref="E4:E13" si="0">C4/$C$14</f>
        <v>0.19041450777202074</v>
      </c>
      <c r="F4" s="281">
        <f t="shared" ref="F4:F13" si="1">D4/$C$14</f>
        <v>0.19041450777202074</v>
      </c>
      <c r="G4" s="1076"/>
      <c r="H4" s="1076"/>
      <c r="I4" s="1076"/>
      <c r="J4" s="1076"/>
      <c r="K4" s="1076"/>
      <c r="L4" s="1076"/>
      <c r="M4" s="1076"/>
      <c r="N4" s="1076"/>
      <c r="O4" s="1076"/>
      <c r="P4" s="1076"/>
      <c r="Q4" s="1076"/>
      <c r="R4" s="1076"/>
      <c r="S4" s="1076"/>
      <c r="T4" s="1076"/>
    </row>
    <row r="5" spans="2:20">
      <c r="B5" s="773" t="s">
        <v>741</v>
      </c>
      <c r="C5" s="773">
        <v>245</v>
      </c>
      <c r="D5" s="280">
        <f t="shared" ref="D5:D13" si="2">D4+C5</f>
        <v>539</v>
      </c>
      <c r="E5" s="281">
        <f t="shared" si="0"/>
        <v>0.15867875647668395</v>
      </c>
      <c r="F5" s="281">
        <f t="shared" si="1"/>
        <v>0.34909326424870468</v>
      </c>
      <c r="G5" s="1076"/>
      <c r="H5" s="1076"/>
      <c r="I5" s="1076"/>
      <c r="J5" s="1076"/>
      <c r="K5" s="1076"/>
      <c r="L5" s="1076"/>
      <c r="M5" s="1076"/>
      <c r="N5" s="1076"/>
      <c r="O5" s="1076"/>
      <c r="P5" s="1076"/>
      <c r="Q5" s="1076"/>
      <c r="R5" s="1076"/>
      <c r="S5" s="1076"/>
      <c r="T5" s="1076"/>
    </row>
    <row r="6" spans="2:20">
      <c r="B6" s="773" t="s">
        <v>742</v>
      </c>
      <c r="C6" s="773">
        <v>240</v>
      </c>
      <c r="D6" s="280">
        <f t="shared" si="2"/>
        <v>779</v>
      </c>
      <c r="E6" s="281">
        <f t="shared" si="0"/>
        <v>0.15544041450777202</v>
      </c>
      <c r="F6" s="281">
        <f t="shared" si="1"/>
        <v>0.5045336787564767</v>
      </c>
      <c r="G6" s="1076"/>
      <c r="H6" s="1076"/>
      <c r="I6" s="1076"/>
      <c r="J6" s="1076"/>
      <c r="K6" s="1076"/>
      <c r="L6" s="1076"/>
      <c r="M6" s="1076"/>
      <c r="N6" s="1076"/>
      <c r="O6" s="1076"/>
      <c r="P6" s="1076"/>
      <c r="Q6" s="1076"/>
      <c r="R6" s="1076"/>
      <c r="S6" s="1076"/>
      <c r="T6" s="1076"/>
    </row>
    <row r="7" spans="2:20">
      <c r="B7" s="773" t="s">
        <v>743</v>
      </c>
      <c r="C7" s="773">
        <v>180</v>
      </c>
      <c r="D7" s="280">
        <f t="shared" si="2"/>
        <v>959</v>
      </c>
      <c r="E7" s="281">
        <f t="shared" si="0"/>
        <v>0.11658031088082901</v>
      </c>
      <c r="F7" s="281">
        <f t="shared" si="1"/>
        <v>0.62111398963730569</v>
      </c>
      <c r="G7" s="1076"/>
      <c r="H7" s="1076"/>
      <c r="I7" s="1076"/>
      <c r="J7" s="1076"/>
      <c r="K7" s="1076"/>
      <c r="L7" s="1076"/>
      <c r="M7" s="1076"/>
      <c r="N7" s="1076"/>
      <c r="O7" s="1076"/>
      <c r="P7" s="1076"/>
      <c r="Q7" s="1076"/>
      <c r="R7" s="1076"/>
      <c r="S7" s="1076"/>
      <c r="T7" s="1076"/>
    </row>
    <row r="8" spans="2:20">
      <c r="B8" s="773" t="s">
        <v>744</v>
      </c>
      <c r="C8" s="773">
        <v>168</v>
      </c>
      <c r="D8" s="280">
        <f t="shared" si="2"/>
        <v>1127</v>
      </c>
      <c r="E8" s="281">
        <f t="shared" si="0"/>
        <v>0.10880829015544041</v>
      </c>
      <c r="F8" s="281">
        <f t="shared" si="1"/>
        <v>0.72992227979274615</v>
      </c>
      <c r="G8" s="1076"/>
      <c r="H8" s="1076"/>
      <c r="I8" s="1076"/>
      <c r="J8" s="1076"/>
      <c r="K8" s="1076"/>
      <c r="L8" s="1076"/>
      <c r="M8" s="1076"/>
      <c r="N8" s="1076"/>
      <c r="O8" s="1076"/>
      <c r="P8" s="1076"/>
      <c r="Q8" s="1076"/>
      <c r="R8" s="1076"/>
      <c r="S8" s="1076"/>
      <c r="T8" s="1076"/>
    </row>
    <row r="9" spans="2:20">
      <c r="B9" s="773" t="s">
        <v>745</v>
      </c>
      <c r="C9" s="773">
        <v>147</v>
      </c>
      <c r="D9" s="280">
        <f t="shared" si="2"/>
        <v>1274</v>
      </c>
      <c r="E9" s="281">
        <f t="shared" si="0"/>
        <v>9.5207253886010368E-2</v>
      </c>
      <c r="F9" s="281">
        <f t="shared" si="1"/>
        <v>0.82512953367875652</v>
      </c>
      <c r="G9" s="1076"/>
      <c r="H9" s="1076"/>
      <c r="I9" s="1076"/>
      <c r="J9" s="1076"/>
      <c r="K9" s="1076"/>
      <c r="L9" s="1076"/>
      <c r="M9" s="1076"/>
      <c r="N9" s="1076"/>
      <c r="O9" s="1076"/>
      <c r="P9" s="1076"/>
      <c r="Q9" s="1076"/>
      <c r="R9" s="1076"/>
      <c r="S9" s="1076"/>
      <c r="T9" s="1076"/>
    </row>
    <row r="10" spans="2:20">
      <c r="B10" s="773" t="s">
        <v>746</v>
      </c>
      <c r="C10" s="773">
        <v>144</v>
      </c>
      <c r="D10" s="280">
        <f t="shared" si="2"/>
        <v>1418</v>
      </c>
      <c r="E10" s="281">
        <f t="shared" si="0"/>
        <v>9.3264248704663211E-2</v>
      </c>
      <c r="F10" s="281">
        <f t="shared" si="1"/>
        <v>0.91839378238341973</v>
      </c>
      <c r="G10" s="1076"/>
      <c r="H10" s="1076"/>
      <c r="I10" s="1076"/>
      <c r="J10" s="1076"/>
      <c r="K10" s="1076"/>
      <c r="L10" s="1076"/>
      <c r="M10" s="1076"/>
      <c r="N10" s="1076"/>
      <c r="O10" s="1076"/>
      <c r="P10" s="1076"/>
      <c r="Q10" s="1076"/>
      <c r="R10" s="1076"/>
      <c r="S10" s="1076"/>
      <c r="T10" s="1076"/>
    </row>
    <row r="11" spans="2:20">
      <c r="B11" s="773" t="s">
        <v>747</v>
      </c>
      <c r="C11" s="773">
        <v>126</v>
      </c>
      <c r="D11" s="280">
        <f t="shared" si="2"/>
        <v>1544</v>
      </c>
      <c r="E11" s="1010">
        <f t="shared" si="0"/>
        <v>8.1606217616580309E-2</v>
      </c>
      <c r="F11" s="281">
        <f t="shared" si="1"/>
        <v>1</v>
      </c>
      <c r="G11" s="1076"/>
      <c r="H11" s="1076"/>
      <c r="I11" s="1076"/>
      <c r="J11" s="1076"/>
      <c r="K11" s="1076"/>
      <c r="L11" s="1076"/>
      <c r="M11" s="1076"/>
      <c r="N11" s="1076"/>
      <c r="O11" s="1076"/>
      <c r="P11" s="1076"/>
      <c r="Q11" s="1076"/>
      <c r="R11" s="1076"/>
      <c r="S11" s="1076"/>
      <c r="T11" s="1076"/>
    </row>
    <row r="12" spans="2:20">
      <c r="B12" s="773" t="s">
        <v>748</v>
      </c>
      <c r="C12" s="773"/>
      <c r="D12" s="280">
        <f t="shared" si="2"/>
        <v>1544</v>
      </c>
      <c r="E12" s="281">
        <f t="shared" si="0"/>
        <v>0</v>
      </c>
      <c r="F12" s="281">
        <f t="shared" si="1"/>
        <v>1</v>
      </c>
      <c r="G12" s="1076"/>
      <c r="H12" s="1076"/>
      <c r="I12" s="1076"/>
      <c r="J12" s="1076"/>
      <c r="K12" s="1076"/>
      <c r="L12" s="1076"/>
      <c r="M12" s="1076"/>
      <c r="N12" s="1076"/>
      <c r="O12" s="1076"/>
      <c r="P12" s="1076"/>
      <c r="Q12" s="1076"/>
      <c r="R12" s="1076"/>
      <c r="S12" s="1076"/>
      <c r="T12" s="1076"/>
    </row>
    <row r="13" spans="2:20">
      <c r="B13" s="773" t="s">
        <v>749</v>
      </c>
      <c r="C13" s="773"/>
      <c r="D13" s="280">
        <f t="shared" si="2"/>
        <v>1544</v>
      </c>
      <c r="E13" s="281">
        <f t="shared" si="0"/>
        <v>0</v>
      </c>
      <c r="F13" s="281">
        <f t="shared" si="1"/>
        <v>1</v>
      </c>
      <c r="G13" s="1076"/>
      <c r="H13" s="1076"/>
      <c r="I13" s="1076"/>
      <c r="J13" s="1076"/>
      <c r="K13" s="1076"/>
      <c r="L13" s="1076"/>
      <c r="M13" s="1076"/>
      <c r="N13" s="1076"/>
      <c r="O13" s="1076"/>
      <c r="P13" s="1076"/>
      <c r="Q13" s="1076"/>
      <c r="R13" s="1076"/>
      <c r="S13" s="1076"/>
      <c r="T13" s="1076"/>
    </row>
    <row r="14" spans="2:20">
      <c r="B14" s="1076"/>
      <c r="C14" s="280">
        <f>SUM(C4:C13)</f>
        <v>1544</v>
      </c>
      <c r="D14" s="280"/>
      <c r="E14" s="282">
        <f>SUM(E4:E13)</f>
        <v>0.99999999999999989</v>
      </c>
      <c r="F14" s="280"/>
      <c r="G14" s="1076"/>
      <c r="H14" s="1076"/>
      <c r="I14" s="1076"/>
      <c r="J14" s="1076"/>
      <c r="K14" s="1076"/>
      <c r="L14" s="1076"/>
      <c r="M14" s="1076"/>
      <c r="N14" s="1076"/>
      <c r="O14" s="1076"/>
      <c r="P14" s="1076"/>
      <c r="Q14" s="1076"/>
      <c r="R14" s="1076"/>
      <c r="S14" s="1076"/>
      <c r="T14" s="1076"/>
    </row>
    <row r="15" spans="2:20">
      <c r="B15" s="1076"/>
      <c r="C15" s="1076"/>
      <c r="D15" s="1076"/>
      <c r="E15" s="1076"/>
      <c r="F15" s="1076"/>
      <c r="G15" s="1076"/>
      <c r="H15" s="1076"/>
      <c r="I15" s="1076"/>
      <c r="J15" s="1076"/>
      <c r="K15" s="1076"/>
      <c r="L15" s="1076"/>
      <c r="M15" s="1076"/>
      <c r="N15" s="1076"/>
      <c r="O15" s="1076"/>
      <c r="P15" s="1076"/>
      <c r="Q15" s="1076"/>
      <c r="R15" s="1076"/>
      <c r="S15" s="1076"/>
      <c r="T15" s="1076"/>
    </row>
    <row r="16" spans="2:20">
      <c r="B16" s="1076"/>
      <c r="C16" s="1076"/>
      <c r="D16" s="1076"/>
      <c r="E16" s="1076"/>
      <c r="F16" s="1076"/>
      <c r="G16" s="1076"/>
      <c r="H16" s="1076"/>
      <c r="I16" s="1076"/>
      <c r="J16" s="1076"/>
      <c r="K16" s="1076"/>
      <c r="L16" s="1076"/>
      <c r="M16" s="1076"/>
      <c r="N16" s="1076"/>
      <c r="O16" s="1076"/>
      <c r="P16" s="1076"/>
      <c r="Q16" s="1076"/>
      <c r="R16" s="1076"/>
      <c r="S16" s="1076"/>
      <c r="T16" s="1076"/>
    </row>
    <row r="17" spans="2:20">
      <c r="B17" s="1076"/>
      <c r="C17" s="1076"/>
      <c r="D17" s="1076"/>
      <c r="E17" s="1076"/>
      <c r="F17" s="1076"/>
      <c r="G17" s="1076"/>
      <c r="H17" s="1076"/>
      <c r="I17" s="1076"/>
      <c r="J17" s="1076"/>
      <c r="K17" s="1076"/>
      <c r="L17" s="1076"/>
      <c r="M17" s="1076"/>
      <c r="N17" s="1076"/>
      <c r="O17" s="1076"/>
      <c r="P17" s="1076"/>
      <c r="Q17" s="1076"/>
      <c r="R17" s="1076"/>
      <c r="S17" s="1076"/>
      <c r="T17" s="1076"/>
    </row>
    <row r="18" spans="2:20">
      <c r="B18" s="1076"/>
      <c r="C18" s="1076"/>
      <c r="D18" s="1076"/>
      <c r="E18" s="1076"/>
      <c r="F18" s="1076"/>
      <c r="G18" s="1076"/>
      <c r="H18" s="1076"/>
      <c r="I18" s="1076"/>
      <c r="J18" s="1076"/>
      <c r="K18" s="1076"/>
      <c r="L18" s="1076"/>
      <c r="M18" s="1076"/>
      <c r="N18" s="1076"/>
      <c r="O18" s="1076"/>
      <c r="P18" s="1076"/>
      <c r="Q18" s="1076"/>
      <c r="R18" s="1076"/>
      <c r="S18" s="1076"/>
      <c r="T18" s="1076"/>
    </row>
    <row r="19" spans="2:20">
      <c r="B19" s="1076"/>
      <c r="C19" s="1076"/>
      <c r="D19" s="1076"/>
      <c r="E19" s="1076"/>
      <c r="F19" s="1076"/>
      <c r="G19" s="1076"/>
      <c r="H19" s="1076"/>
      <c r="I19" s="1076"/>
      <c r="J19" s="1076"/>
      <c r="K19" s="1076"/>
      <c r="L19" s="1076"/>
      <c r="M19" s="1076"/>
      <c r="N19" s="1076"/>
      <c r="O19" s="1076"/>
      <c r="P19" s="1076"/>
      <c r="Q19" s="1076"/>
      <c r="R19" s="1076"/>
      <c r="S19" s="1076"/>
      <c r="T19" s="1076"/>
    </row>
    <row r="20" spans="2:20">
      <c r="B20" s="1076"/>
      <c r="C20" s="1076"/>
      <c r="D20" s="1076"/>
      <c r="E20" s="1076"/>
      <c r="F20" s="1076"/>
      <c r="G20" s="1076"/>
      <c r="H20" s="1076"/>
      <c r="I20" s="1076"/>
      <c r="J20" s="1076"/>
      <c r="K20" s="1076"/>
      <c r="L20" s="1076"/>
      <c r="M20" s="1076"/>
      <c r="N20" s="1076"/>
      <c r="O20" s="1076"/>
      <c r="P20" s="1076"/>
      <c r="Q20" s="1076"/>
      <c r="R20" s="1076"/>
      <c r="S20" s="1076"/>
      <c r="T20" s="1076"/>
    </row>
    <row r="21" spans="2:20">
      <c r="B21" s="1076"/>
      <c r="C21" s="1076"/>
      <c r="D21" s="1076"/>
      <c r="E21" s="1076"/>
      <c r="F21" s="1076"/>
      <c r="G21" s="1076"/>
      <c r="H21" s="1076"/>
      <c r="I21" s="1076"/>
      <c r="J21" s="1076"/>
      <c r="K21" s="1076"/>
      <c r="L21" s="1076"/>
      <c r="M21" s="1076"/>
      <c r="N21" s="1076"/>
      <c r="O21" s="1076"/>
      <c r="P21" s="1076"/>
      <c r="Q21" s="1076"/>
      <c r="R21" s="1076"/>
      <c r="S21" s="1076"/>
      <c r="T21" s="1076"/>
    </row>
    <row r="22" spans="2:20">
      <c r="B22" s="1076"/>
      <c r="C22" s="1076"/>
      <c r="D22" s="1076"/>
      <c r="E22" s="1076"/>
      <c r="F22" s="1076"/>
      <c r="G22" s="1076"/>
      <c r="H22" s="1076"/>
      <c r="I22" s="1076"/>
      <c r="J22" s="1076"/>
      <c r="K22" s="1076"/>
      <c r="L22" s="1076"/>
      <c r="M22" s="1076"/>
      <c r="N22" s="1076"/>
      <c r="O22" s="1076"/>
      <c r="P22" s="1076"/>
      <c r="Q22" s="1076"/>
      <c r="R22" s="1076"/>
      <c r="S22" s="1076"/>
      <c r="T22" s="1076"/>
    </row>
    <row r="23" spans="2:20">
      <c r="B23" s="1076"/>
      <c r="C23" s="1076"/>
      <c r="D23" s="1076"/>
      <c r="E23" s="1076"/>
      <c r="F23" s="1076"/>
      <c r="G23" s="1076"/>
      <c r="H23" s="1076"/>
      <c r="I23" s="1076"/>
      <c r="J23" s="1076"/>
      <c r="K23" s="1076"/>
      <c r="L23" s="1076"/>
      <c r="M23" s="1076"/>
      <c r="N23" s="1076"/>
      <c r="O23" s="1076"/>
      <c r="P23" s="1076"/>
      <c r="Q23" s="1076"/>
      <c r="R23" s="1076"/>
      <c r="S23" s="1076"/>
      <c r="T23" s="1076"/>
    </row>
    <row r="24" spans="2:20">
      <c r="B24" s="1076"/>
      <c r="C24" s="1076"/>
      <c r="D24" s="1076"/>
      <c r="E24" s="1076"/>
      <c r="F24" s="1076"/>
      <c r="G24" s="1076"/>
      <c r="H24" s="1076"/>
      <c r="I24" s="1076"/>
      <c r="J24" s="1076"/>
      <c r="K24" s="1076"/>
      <c r="L24" s="1076"/>
      <c r="M24" s="1076"/>
      <c r="N24" s="1076"/>
      <c r="O24" s="1076"/>
      <c r="P24" s="1076"/>
      <c r="Q24" s="1076"/>
      <c r="R24" s="1076"/>
      <c r="S24" s="1076"/>
      <c r="T24" s="1076"/>
    </row>
    <row r="25" spans="2:20">
      <c r="B25" s="1076"/>
      <c r="C25" s="1076"/>
      <c r="D25" s="1076"/>
      <c r="E25" s="1076"/>
      <c r="F25" s="1076"/>
      <c r="G25" s="1076"/>
      <c r="H25" s="1076"/>
      <c r="I25" s="1076"/>
      <c r="J25" s="1076"/>
      <c r="K25" s="1076"/>
      <c r="L25" s="1076"/>
      <c r="M25" s="1076"/>
      <c r="N25" s="1076"/>
      <c r="O25" s="1076"/>
      <c r="P25" s="1076"/>
      <c r="Q25" s="1076"/>
      <c r="R25" s="1076"/>
      <c r="S25" s="1076"/>
      <c r="T25" s="1076"/>
    </row>
    <row r="26" spans="2:20">
      <c r="B26" s="1076"/>
      <c r="C26" s="1076"/>
      <c r="D26" s="1076"/>
      <c r="E26" s="1076"/>
      <c r="F26" s="1076"/>
      <c r="G26" s="1076"/>
      <c r="H26" s="1076"/>
      <c r="I26" s="1076"/>
      <c r="J26" s="1076"/>
      <c r="K26" s="1076"/>
      <c r="L26" s="1076"/>
      <c r="M26" s="1076"/>
      <c r="N26" s="1076"/>
      <c r="O26" s="1076"/>
      <c r="P26" s="1076"/>
      <c r="Q26" s="1076"/>
      <c r="R26" s="1076"/>
      <c r="S26" s="1076"/>
      <c r="T26" s="1076"/>
    </row>
    <row r="27" spans="2:20">
      <c r="B27" s="1076"/>
      <c r="C27" s="1076"/>
      <c r="D27" s="1076"/>
      <c r="E27" s="1076"/>
      <c r="F27" s="1076"/>
      <c r="G27" s="1076"/>
      <c r="H27" s="1076"/>
      <c r="I27" s="1076"/>
      <c r="J27" s="1076"/>
      <c r="K27" s="1076"/>
      <c r="L27" s="1076"/>
      <c r="M27" s="1076"/>
      <c r="N27" s="1076"/>
      <c r="O27" s="1076"/>
      <c r="P27" s="1076"/>
      <c r="Q27" s="1076"/>
      <c r="R27" s="1076"/>
      <c r="S27" s="1076"/>
      <c r="T27" s="1076"/>
    </row>
    <row r="28" spans="2:20">
      <c r="B28" s="1076"/>
      <c r="C28" s="1076"/>
      <c r="D28" s="1076"/>
      <c r="E28" s="1076"/>
      <c r="F28" s="1076"/>
      <c r="G28" s="1076"/>
      <c r="H28" s="1076"/>
      <c r="I28" s="1076"/>
      <c r="J28" s="1076"/>
      <c r="K28" s="1076"/>
      <c r="L28" s="1076"/>
      <c r="M28" s="1076"/>
      <c r="N28" s="1076"/>
      <c r="O28" s="1076"/>
      <c r="P28" s="1076"/>
      <c r="Q28" s="1076"/>
      <c r="R28" s="1076"/>
      <c r="S28" s="1076"/>
      <c r="T28" s="1076"/>
    </row>
    <row r="29" spans="2:20">
      <c r="B29" s="1076"/>
      <c r="C29" s="1076"/>
      <c r="D29" s="1076"/>
      <c r="E29" s="1076"/>
      <c r="F29" s="1076"/>
      <c r="G29" s="1076"/>
      <c r="H29" s="1076"/>
      <c r="I29" s="1076"/>
      <c r="J29" s="1076"/>
      <c r="K29" s="1076"/>
      <c r="L29" s="1076"/>
      <c r="M29" s="1076"/>
      <c r="N29" s="1076"/>
      <c r="O29" s="1076"/>
      <c r="P29" s="1076"/>
      <c r="Q29" s="1076"/>
      <c r="R29" s="1076"/>
      <c r="S29" s="1076"/>
      <c r="T29" s="1076"/>
    </row>
    <row r="30" spans="2:20">
      <c r="B30" s="1076"/>
      <c r="C30" s="1076"/>
      <c r="D30" s="1076"/>
      <c r="E30" s="1076"/>
      <c r="F30" s="1076"/>
      <c r="G30" s="1076"/>
      <c r="H30" s="1076"/>
      <c r="I30" s="1076"/>
      <c r="J30" s="1076"/>
      <c r="K30" s="1076"/>
      <c r="L30" s="1076"/>
      <c r="M30" s="1076"/>
      <c r="N30" s="1076"/>
      <c r="O30" s="1076"/>
      <c r="P30" s="1076"/>
      <c r="Q30" s="1076"/>
      <c r="R30" s="1076"/>
      <c r="S30" s="1076"/>
      <c r="T30" s="1076"/>
    </row>
    <row r="31" spans="2:20">
      <c r="B31" s="1076"/>
      <c r="C31" s="1076"/>
      <c r="D31" s="1076"/>
      <c r="E31" s="1076"/>
      <c r="F31" s="1076"/>
      <c r="G31" s="1076"/>
      <c r="H31" s="1076"/>
      <c r="I31" s="1076"/>
      <c r="J31" s="1076"/>
      <c r="K31" s="1076"/>
      <c r="L31" s="1076"/>
      <c r="M31" s="1076"/>
      <c r="N31" s="1076"/>
      <c r="O31" s="1076"/>
      <c r="P31" s="1076"/>
      <c r="Q31" s="1076"/>
      <c r="R31" s="1076"/>
      <c r="S31" s="1076"/>
      <c r="T31" s="1076"/>
    </row>
    <row r="32" spans="2:20">
      <c r="B32" s="1076"/>
      <c r="C32" s="1076"/>
      <c r="D32" s="1076"/>
      <c r="E32" s="1076"/>
      <c r="F32" s="1076"/>
      <c r="G32" s="1076"/>
      <c r="H32" s="1076"/>
      <c r="I32" s="1076"/>
      <c r="J32" s="1076"/>
      <c r="K32" s="1076"/>
      <c r="L32" s="1076"/>
      <c r="M32" s="1076"/>
      <c r="N32" s="1076"/>
      <c r="O32" s="1076"/>
      <c r="P32" s="1076"/>
      <c r="Q32" s="1076"/>
      <c r="R32" s="1076"/>
      <c r="S32" s="1076"/>
      <c r="T32" s="1076"/>
    </row>
    <row r="33" spans="2:20">
      <c r="B33" s="1076"/>
      <c r="C33" s="1076"/>
      <c r="D33" s="1076"/>
      <c r="E33" s="1076"/>
      <c r="F33" s="1076"/>
      <c r="G33" s="1076"/>
      <c r="H33" s="1076"/>
      <c r="I33" s="1076"/>
      <c r="J33" s="1076"/>
      <c r="K33" s="1076"/>
      <c r="L33" s="1076"/>
      <c r="M33" s="1076"/>
      <c r="N33" s="1076"/>
      <c r="O33" s="1076"/>
      <c r="P33" s="1076"/>
      <c r="Q33" s="1076"/>
      <c r="R33" s="1076"/>
      <c r="S33" s="1076"/>
      <c r="T33" s="1076"/>
    </row>
    <row r="34" spans="2:20">
      <c r="B34" s="1076"/>
      <c r="C34" s="1076"/>
      <c r="D34" s="1076"/>
      <c r="E34" s="1076"/>
      <c r="F34" s="1076"/>
      <c r="G34" s="1076"/>
      <c r="H34" s="1076"/>
      <c r="I34" s="1076"/>
      <c r="J34" s="1076"/>
      <c r="K34" s="1076"/>
      <c r="L34" s="1076"/>
      <c r="M34" s="1076"/>
      <c r="N34" s="1076"/>
      <c r="O34" s="1076"/>
      <c r="P34" s="1076"/>
      <c r="Q34" s="1076"/>
      <c r="R34" s="1076"/>
      <c r="S34" s="1076"/>
      <c r="T34" s="1076"/>
    </row>
    <row r="35" spans="2:20">
      <c r="B35" s="1076"/>
      <c r="C35" s="1076"/>
      <c r="D35" s="1076"/>
      <c r="E35" s="1076"/>
      <c r="F35" s="1076"/>
      <c r="G35" s="1076"/>
      <c r="H35" s="1076"/>
      <c r="I35" s="1076"/>
      <c r="J35" s="1076"/>
      <c r="K35" s="1076"/>
      <c r="L35" s="1076"/>
      <c r="M35" s="1076"/>
      <c r="N35" s="1076"/>
      <c r="O35" s="1076"/>
      <c r="P35" s="1076"/>
      <c r="Q35" s="1076"/>
      <c r="R35" s="1076"/>
      <c r="S35" s="1076"/>
      <c r="T35" s="1076"/>
    </row>
    <row r="36" spans="2:20">
      <c r="B36" s="1076"/>
      <c r="C36" s="1076"/>
      <c r="D36" s="1076"/>
      <c r="E36" s="1076"/>
      <c r="F36" s="1076"/>
      <c r="G36" s="1076"/>
      <c r="H36" s="1076"/>
      <c r="I36" s="1076"/>
      <c r="J36" s="1076"/>
      <c r="K36" s="1076"/>
      <c r="L36" s="1076"/>
      <c r="M36" s="1076"/>
      <c r="N36" s="1076"/>
      <c r="O36" s="1076"/>
      <c r="P36" s="1076"/>
      <c r="Q36" s="1076"/>
      <c r="R36" s="1076"/>
      <c r="S36" s="1076"/>
      <c r="T36" s="1076"/>
    </row>
    <row r="37" spans="2:20">
      <c r="B37" s="1076"/>
      <c r="C37" s="1076"/>
      <c r="D37" s="1076"/>
      <c r="E37" s="1076"/>
      <c r="F37" s="1076"/>
      <c r="G37" s="1076"/>
      <c r="H37" s="1076"/>
      <c r="I37" s="1076"/>
      <c r="J37" s="1076"/>
      <c r="K37" s="1076"/>
      <c r="L37" s="1076"/>
      <c r="M37" s="1076"/>
      <c r="N37" s="1076"/>
      <c r="O37" s="1076"/>
      <c r="P37" s="1076"/>
      <c r="Q37" s="1076"/>
      <c r="R37" s="1076"/>
      <c r="S37" s="1076"/>
      <c r="T37" s="1076"/>
    </row>
    <row r="38" spans="2:20">
      <c r="B38" s="1076"/>
      <c r="C38" s="1076"/>
      <c r="D38" s="1076"/>
      <c r="E38" s="1076"/>
      <c r="F38" s="1076"/>
      <c r="G38" s="1076"/>
      <c r="H38" s="1076"/>
      <c r="I38" s="1076"/>
      <c r="J38" s="1076"/>
      <c r="K38" s="1076"/>
      <c r="L38" s="1076"/>
      <c r="M38" s="1076"/>
      <c r="N38" s="1076"/>
      <c r="O38" s="1076"/>
      <c r="P38" s="1076"/>
      <c r="Q38" s="1076"/>
      <c r="R38" s="1076"/>
      <c r="S38" s="1076"/>
      <c r="T38" s="1076"/>
    </row>
    <row r="39" spans="2:20">
      <c r="B39" s="1076"/>
      <c r="C39" s="1076"/>
      <c r="D39" s="1076"/>
      <c r="E39" s="1076"/>
      <c r="F39" s="1076"/>
      <c r="G39" s="1076"/>
      <c r="H39" s="1076"/>
      <c r="I39" s="1076"/>
      <c r="J39" s="1076"/>
      <c r="K39" s="1076"/>
      <c r="L39" s="1076"/>
      <c r="M39" s="1076"/>
      <c r="N39" s="1076"/>
      <c r="O39" s="1076"/>
      <c r="P39" s="1076"/>
      <c r="Q39" s="1076"/>
      <c r="R39" s="1076"/>
      <c r="S39" s="1076"/>
      <c r="T39" s="1076"/>
    </row>
  </sheetData>
  <pageMargins left="0.70866141732283472" right="0.70866141732283472" top="0.74803149606299213" bottom="0.74803149606299213" header="0.31496062992125984" footer="0.31496062992125984"/>
  <pageSetup paperSize="9" scale="73" orientation="landscape" horizontalDpi="0" verticalDpi="0" r:id="rId1"/>
  <customProperties>
    <customPr name="ORB_SHEETNAME" r:id="rId2"/>
  </customProperties>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33F9C-0267-4A22-9603-4A4CE561CF87}">
  <sheetPr>
    <pageSetUpPr fitToPage="1"/>
  </sheetPr>
  <dimension ref="A1:E11"/>
  <sheetViews>
    <sheetView topLeftCell="A11" zoomScaleNormal="100" workbookViewId="0"/>
  </sheetViews>
  <sheetFormatPr defaultRowHeight="15"/>
  <sheetData>
    <row r="1" spans="1:5" ht="15.75">
      <c r="A1" s="1020" t="s">
        <v>750</v>
      </c>
    </row>
    <row r="2" spans="1:5">
      <c r="A2" s="495" t="s">
        <v>751</v>
      </c>
    </row>
    <row r="11" spans="1:5">
      <c r="E11" s="1009"/>
    </row>
  </sheetData>
  <pageMargins left="0.70866141732283472" right="0.70866141732283472" top="0.74803149606299213" bottom="0.74803149606299213" header="0.31496062992125984" footer="0.31496062992125984"/>
  <pageSetup paperSize="9" scale="89" orientation="landscape" horizontalDpi="0" verticalDpi="0"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9821B-1743-4208-B429-BF42B904B60D}">
  <sheetPr>
    <pageSetUpPr fitToPage="1"/>
  </sheetPr>
  <dimension ref="A1:BN501"/>
  <sheetViews>
    <sheetView tabSelected="1" view="pageBreakPreview" zoomScale="90" zoomScaleNormal="70" zoomScaleSheetLayoutView="90" workbookViewId="0">
      <selection activeCell="D3" sqref="D3"/>
    </sheetView>
  </sheetViews>
  <sheetFormatPr defaultColWidth="8.7109375" defaultRowHeight="15.75"/>
  <cols>
    <col min="1" max="1" width="17.42578125" style="111" customWidth="1"/>
    <col min="2" max="2" width="15.7109375" style="111" customWidth="1"/>
    <col min="3" max="26" width="10.42578125" style="34" customWidth="1"/>
    <col min="27" max="27" width="8.7109375" style="36"/>
    <col min="28" max="30" width="9.42578125" style="34" customWidth="1"/>
    <col min="31" max="31" width="14.28515625" style="34" customWidth="1"/>
    <col min="32" max="38" width="9.42578125" style="34" customWidth="1"/>
    <col min="39" max="39" width="9.28515625" style="36" customWidth="1"/>
    <col min="40" max="49" width="9.42578125" style="34" customWidth="1"/>
    <col min="50" max="16384" width="8.7109375" style="34"/>
  </cols>
  <sheetData>
    <row r="1" spans="1:66" ht="47.25" customHeight="1">
      <c r="A1" s="30" t="s">
        <v>752</v>
      </c>
      <c r="B1" s="30" t="s">
        <v>753</v>
      </c>
      <c r="C1" s="30"/>
      <c r="D1" s="1168"/>
      <c r="E1" s="1168"/>
      <c r="F1" s="1168"/>
      <c r="G1" s="1168"/>
      <c r="H1" s="1168"/>
      <c r="I1" s="1168"/>
      <c r="J1" s="1168"/>
      <c r="K1" s="1168"/>
      <c r="L1" s="1168"/>
      <c r="M1" s="1168"/>
      <c r="N1" s="1168"/>
      <c r="O1" s="1168"/>
      <c r="P1" s="1168"/>
      <c r="Q1" s="1168"/>
      <c r="R1" s="1168"/>
      <c r="S1" s="1168"/>
      <c r="T1" s="1168"/>
      <c r="U1" s="1168"/>
      <c r="V1" s="1168"/>
      <c r="W1" s="1168"/>
      <c r="X1" s="1168"/>
      <c r="Y1" s="1168"/>
      <c r="Z1" s="1168"/>
      <c r="AA1" s="283" t="s">
        <v>754</v>
      </c>
      <c r="AB1" s="284" t="s">
        <v>755</v>
      </c>
      <c r="AC1" s="285" t="s">
        <v>756</v>
      </c>
      <c r="AD1" s="285" t="s">
        <v>757</v>
      </c>
      <c r="AE1" s="284" t="s">
        <v>758</v>
      </c>
      <c r="AF1" s="285" t="s">
        <v>759</v>
      </c>
      <c r="AG1" s="285" t="s">
        <v>760</v>
      </c>
      <c r="AH1" s="284" t="s">
        <v>761</v>
      </c>
      <c r="AI1" s="284" t="s">
        <v>762</v>
      </c>
      <c r="AJ1" s="284" t="s">
        <v>763</v>
      </c>
      <c r="AK1" s="284" t="s">
        <v>764</v>
      </c>
      <c r="AL1" s="284"/>
      <c r="AM1" s="283" t="s">
        <v>765</v>
      </c>
      <c r="AN1" s="284" t="s">
        <v>755</v>
      </c>
      <c r="AO1" s="285" t="s">
        <v>756</v>
      </c>
      <c r="AP1" s="285" t="s">
        <v>757</v>
      </c>
      <c r="AQ1" s="284" t="s">
        <v>766</v>
      </c>
      <c r="AR1" s="285" t="s">
        <v>759</v>
      </c>
      <c r="AS1" s="285" t="s">
        <v>760</v>
      </c>
      <c r="AT1" s="284" t="s">
        <v>761</v>
      </c>
      <c r="AU1" s="284" t="s">
        <v>762</v>
      </c>
      <c r="AV1" s="284" t="s">
        <v>763</v>
      </c>
      <c r="AW1" s="284" t="s">
        <v>764</v>
      </c>
      <c r="AX1" s="707"/>
      <c r="AY1" s="707"/>
      <c r="AZ1" s="707"/>
      <c r="BA1" s="707"/>
      <c r="BB1" s="707"/>
      <c r="BC1" s="707"/>
      <c r="BD1" s="707"/>
      <c r="BE1" s="707"/>
      <c r="BF1" s="707"/>
      <c r="BG1" s="707"/>
      <c r="BH1" s="707"/>
      <c r="BI1" s="707"/>
      <c r="BJ1" s="286" t="s">
        <v>767</v>
      </c>
      <c r="BK1" s="1305" t="s">
        <v>768</v>
      </c>
      <c r="BL1" s="1307" t="s">
        <v>769</v>
      </c>
      <c r="BM1" s="1307" t="s">
        <v>770</v>
      </c>
      <c r="BN1" s="1309" t="s">
        <v>771</v>
      </c>
    </row>
    <row r="2" spans="1:66" ht="16.5" thickBot="1">
      <c r="A2" s="1169">
        <v>1</v>
      </c>
      <c r="B2" s="1378">
        <v>0.17</v>
      </c>
      <c r="C2" s="1169"/>
      <c r="D2" s="1169"/>
      <c r="E2" s="1169"/>
      <c r="F2" s="1169"/>
      <c r="G2" s="1169"/>
      <c r="H2" s="1169"/>
      <c r="I2" s="1169"/>
      <c r="J2" s="1169"/>
      <c r="K2" s="1169"/>
      <c r="L2" s="1169"/>
      <c r="M2" s="1169"/>
      <c r="N2" s="1169"/>
      <c r="O2" s="1169"/>
      <c r="P2" s="1169"/>
      <c r="Q2" s="1169"/>
      <c r="R2" s="1169"/>
      <c r="S2" s="1169"/>
      <c r="T2" s="1169"/>
      <c r="U2" s="1169"/>
      <c r="V2" s="1169"/>
      <c r="W2" s="1169"/>
      <c r="X2" s="1169"/>
      <c r="Y2" s="1169"/>
      <c r="Z2" s="1169"/>
      <c r="AA2" s="36">
        <f t="shared" ref="AA2:AA65" si="0">IF(B2="","",B2)</f>
        <v>0.17</v>
      </c>
      <c r="AB2" s="288">
        <f>IF(AA2="", "", AE2-(3*STDEV(AA:AA)))</f>
        <v>-3.2680075962392557E-2</v>
      </c>
      <c r="AC2" s="288">
        <f>IF(AA2="", "",AE2-(2*STDEV(AA:AA)))</f>
        <v>1.2324393802849401E-2</v>
      </c>
      <c r="AD2" s="288">
        <f>IF(AA2="", "", AE2-STDEV(AA:AA))</f>
        <v>5.7328863568091366E-2</v>
      </c>
      <c r="AE2" s="288">
        <f>IF(AA2="", "", AVERAGE(AA:AA))</f>
        <v>0.10233333333333333</v>
      </c>
      <c r="AF2" s="288">
        <f>IF(AC2="", "", AE2+STDEV(AA:AA))</f>
        <v>0.1473378030985753</v>
      </c>
      <c r="AG2" s="288">
        <f>IF(AE2="", "",AE2+(2*STDEV(AA:AA)))</f>
        <v>0.19234227286381728</v>
      </c>
      <c r="AH2" s="288">
        <f>IF(AG2="", "", AE2+(3*STDEV(AA:AA)))</f>
        <v>0.23734674262905922</v>
      </c>
      <c r="AI2" s="288">
        <f>IF(OR(AA2&gt;AH2,AA2&lt;AB2),AA2,-1)</f>
        <v>-1</v>
      </c>
      <c r="AJ2" s="288"/>
      <c r="AK2" s="288"/>
      <c r="AL2" s="288"/>
      <c r="AN2" s="288">
        <v>0</v>
      </c>
      <c r="AO2" s="288" t="str">
        <f>IF(AM2="", "", IF($AQ2-(2*(($AT2-$AQ2)/3))&lt;0, 0, $AQ2-(2*(($AT2-$AQ2)/3))))</f>
        <v/>
      </c>
      <c r="AP2" s="288" t="str">
        <f>IF(AM2="", "", IF($AQ2-(($AT2-$AQ2)/3)&lt;0, 0, $AQ1-(($AT1-$AQ1)/3)))</f>
        <v/>
      </c>
      <c r="AQ2" s="288">
        <f>AVERAGE(AM:AM)</f>
        <v>3.3793103448275866E-2</v>
      </c>
      <c r="AR2" s="288">
        <f>(AT2-AQ2)/3+AQ2</f>
        <v>5.9329425287356324E-2</v>
      </c>
      <c r="AS2" s="288">
        <f>(AT2-AQ2)/3*2+AQ2</f>
        <v>8.4865747126436797E-2</v>
      </c>
      <c r="AT2" s="288">
        <f>$BM$3*AQ2</f>
        <v>0.11040206896551726</v>
      </c>
      <c r="AU2" s="288">
        <f>IF(OR(AM2&gt;AT2,AM2&lt;AN2),AM2,-1)</f>
        <v>-1</v>
      </c>
      <c r="AV2" s="288"/>
      <c r="AW2" s="288"/>
      <c r="AX2" s="707"/>
      <c r="AY2" s="707"/>
      <c r="AZ2" s="707"/>
      <c r="BA2" s="707"/>
      <c r="BB2" s="707"/>
      <c r="BC2" s="707"/>
      <c r="BD2" s="707"/>
      <c r="BE2" s="707"/>
      <c r="BF2" s="707"/>
      <c r="BG2" s="707"/>
      <c r="BH2" s="707"/>
      <c r="BI2" s="707"/>
      <c r="BJ2" s="289" t="s">
        <v>772</v>
      </c>
      <c r="BK2" s="1306"/>
      <c r="BL2" s="1308"/>
      <c r="BM2" s="1308"/>
      <c r="BN2" s="1310"/>
    </row>
    <row r="3" spans="1:66">
      <c r="A3" s="1169">
        <v>2</v>
      </c>
      <c r="B3" s="1378">
        <v>0.11</v>
      </c>
      <c r="C3" s="1169"/>
      <c r="D3" s="1169"/>
      <c r="E3" s="1169"/>
      <c r="F3" s="1169"/>
      <c r="G3" s="1169"/>
      <c r="H3" s="1169"/>
      <c r="I3" s="1169"/>
      <c r="J3" s="1169"/>
      <c r="K3" s="1169"/>
      <c r="L3" s="1169"/>
      <c r="M3" s="1169"/>
      <c r="N3" s="1169"/>
      <c r="O3" s="1169"/>
      <c r="P3" s="1169"/>
      <c r="Q3" s="1169"/>
      <c r="R3" s="1169"/>
      <c r="S3" s="1169"/>
      <c r="T3" s="1169"/>
      <c r="U3" s="1169"/>
      <c r="V3" s="1169"/>
      <c r="W3" s="1169"/>
      <c r="X3" s="1169"/>
      <c r="Y3" s="1169"/>
      <c r="Z3" s="1169"/>
      <c r="AA3" s="36">
        <f t="shared" si="0"/>
        <v>0.11</v>
      </c>
      <c r="AB3" s="288">
        <f t="shared" ref="AB3:AB37" si="1">IF(AA3="", "", AE3-(3*STDEV(AA:AA)))</f>
        <v>-3.2680075962392557E-2</v>
      </c>
      <c r="AC3" s="288">
        <f t="shared" ref="AC3:AC37" si="2">IF(AA3="", "",AE3-(2*STDEV(AA:AA)))</f>
        <v>1.2324393802849401E-2</v>
      </c>
      <c r="AD3" s="288">
        <f t="shared" ref="AD3:AD37" si="3">IF(AA3="", "", AE3-STDEV(AA:AA))</f>
        <v>5.7328863568091366E-2</v>
      </c>
      <c r="AE3" s="288">
        <f t="shared" ref="AE3:AE37" si="4">IF(AA3="", "", AVERAGE(AA:AA))</f>
        <v>0.10233333333333333</v>
      </c>
      <c r="AF3" s="288">
        <f t="shared" ref="AF3:AF37" si="5">IF(AC3="", "", AE3+STDEV(AA:AA))</f>
        <v>0.1473378030985753</v>
      </c>
      <c r="AG3" s="288">
        <f t="shared" ref="AG3:AG37" si="6">IF(AE3="", "",AE3+(2*STDEV(AA:AA)))</f>
        <v>0.19234227286381728</v>
      </c>
      <c r="AH3" s="288">
        <f t="shared" ref="AH3:AH37" si="7">IF(AG3="", "", AE3+(3*STDEV(AA:AA)))</f>
        <v>0.23734674262905922</v>
      </c>
      <c r="AI3" s="36">
        <f t="shared" ref="AI3:AI37" si="8">IF(OR(AA3&gt;AH3,AA3&lt;AB3),AA3,-1)</f>
        <v>-1</v>
      </c>
      <c r="AJ3" s="36">
        <f>IF(IF(AA2&gt;AG2,1,0)+IF(AA3&gt;AG3,1,0)+IF(AA4&gt;AG4,1,0)+IF(AA2&lt;AC2,1,0)+IF(AA3&lt;AC3,1,0)+IF(AA4&lt;AC4,1,0)&gt;=2,AA3,-1)</f>
        <v>-1</v>
      </c>
      <c r="AK3" s="36"/>
      <c r="AL3" s="36"/>
      <c r="AM3" s="36">
        <f t="shared" ref="AM3:AM66" si="9">IF(B3="", "", ABS(B3-B2))</f>
        <v>6.0000000000000012E-2</v>
      </c>
      <c r="AN3" s="288">
        <v>0</v>
      </c>
      <c r="AO3" s="288">
        <f t="shared" ref="AO3:AO37" si="10">IF(AM3="", "", IF($AQ3-(2*(($AT3-$AQ3)/3))&lt;0, 0, $AQ3-(2*(($AT3-$AQ3)/3))))</f>
        <v>0</v>
      </c>
      <c r="AP3" s="288">
        <f>IF(AM3="", "", IF($AQ3-(($AT3-$AQ3)/3)&lt;0, 0, $AQ2-(($AT2-$AQ2)/3)))</f>
        <v>8.2567816091954037E-3</v>
      </c>
      <c r="AQ3" s="36">
        <f t="shared" ref="AQ3:AS18" si="11">AQ2</f>
        <v>3.3793103448275866E-2</v>
      </c>
      <c r="AR3" s="36">
        <f t="shared" si="11"/>
        <v>5.9329425287356324E-2</v>
      </c>
      <c r="AS3" s="36">
        <f t="shared" si="11"/>
        <v>8.4865747126436797E-2</v>
      </c>
      <c r="AT3" s="288">
        <f t="shared" ref="AT3:AT37" si="12">$BM$3*AQ3</f>
        <v>0.11040206896551726</v>
      </c>
      <c r="AU3" s="36">
        <f t="shared" ref="AU3:AU37" si="13">IF(OR(AM3&gt;AT3,AM3&lt;AN3),AM3,-1)</f>
        <v>-1</v>
      </c>
      <c r="AV3" s="36">
        <f>IF(IF(AM2&gt;AS2,1,0)+IF(AM3&gt;AS3,1,0)+IF(AM4&gt;AS4,1,0)+IF(AM2&lt;AO2,1,0)+IF(AM3&lt;AO3,1,0)+IF(AM4&lt;AO4,1,0)&gt;=2,AM3,-1)</f>
        <v>-1</v>
      </c>
      <c r="AW3" s="36"/>
      <c r="AX3" s="707"/>
      <c r="AY3" s="707"/>
      <c r="AZ3" s="707"/>
      <c r="BA3" s="707"/>
      <c r="BB3" s="707"/>
      <c r="BC3" s="707"/>
      <c r="BD3" s="707"/>
      <c r="BE3" s="707"/>
      <c r="BF3" s="707"/>
      <c r="BG3" s="707"/>
      <c r="BH3" s="707"/>
      <c r="BI3" s="707"/>
      <c r="BJ3" s="290">
        <v>2</v>
      </c>
      <c r="BK3" s="291">
        <v>1.88</v>
      </c>
      <c r="BL3" s="291"/>
      <c r="BM3" s="291">
        <v>3.2669999999999999</v>
      </c>
      <c r="BN3" s="292">
        <v>1.1279999999999999</v>
      </c>
    </row>
    <row r="4" spans="1:66">
      <c r="A4" s="1169">
        <v>3</v>
      </c>
      <c r="B4" s="1378">
        <v>0.12</v>
      </c>
      <c r="C4" s="1169"/>
      <c r="D4" s="1169"/>
      <c r="E4" s="1169"/>
      <c r="F4" s="1169"/>
      <c r="G4" s="1169"/>
      <c r="H4" s="1169"/>
      <c r="I4" s="1169"/>
      <c r="J4" s="1169"/>
      <c r="K4" s="1169"/>
      <c r="L4" s="1169"/>
      <c r="M4" s="1169"/>
      <c r="N4" s="1169"/>
      <c r="O4" s="1169"/>
      <c r="P4" s="1169"/>
      <c r="Q4" s="1169"/>
      <c r="R4" s="1169"/>
      <c r="S4" s="1169"/>
      <c r="T4" s="1169"/>
      <c r="U4" s="1169"/>
      <c r="V4" s="1169"/>
      <c r="W4" s="1169"/>
      <c r="X4" s="1169"/>
      <c r="Y4" s="1169"/>
      <c r="Z4" s="1169"/>
      <c r="AA4" s="36">
        <f t="shared" si="0"/>
        <v>0.12</v>
      </c>
      <c r="AB4" s="288">
        <f t="shared" si="1"/>
        <v>-3.2680075962392557E-2</v>
      </c>
      <c r="AC4" s="288">
        <f t="shared" si="2"/>
        <v>1.2324393802849401E-2</v>
      </c>
      <c r="AD4" s="288">
        <f t="shared" si="3"/>
        <v>5.7328863568091366E-2</v>
      </c>
      <c r="AE4" s="288">
        <f t="shared" si="4"/>
        <v>0.10233333333333333</v>
      </c>
      <c r="AF4" s="288">
        <f t="shared" si="5"/>
        <v>0.1473378030985753</v>
      </c>
      <c r="AG4" s="288">
        <f t="shared" si="6"/>
        <v>0.19234227286381728</v>
      </c>
      <c r="AH4" s="288">
        <f t="shared" si="7"/>
        <v>0.23734674262905922</v>
      </c>
      <c r="AI4" s="36">
        <f t="shared" si="8"/>
        <v>-1</v>
      </c>
      <c r="AJ4" s="36">
        <f>IF(IF(AA3&gt;AG3,1,0)+IF(AA4&gt;AG4,1,0)+IF(AA5&gt;AG5,1,0)+IF(AA3&lt;AC3,1,0)+IF(AA4&lt;AC4,1,0)+IF(AA5&lt;AC5,1,0)&gt;=2,AA4,-1)</f>
        <v>-1</v>
      </c>
      <c r="AK4" s="36">
        <f>IF(IF(AA2&lt;AD2,1,0)+IF(AA4&lt;AD4,1,0)+IF(AA5&lt;AD5,1,0)+IF(AA6&lt;AD6,1,0)+IF(AA3&lt;AD3,1,0)+IF(AA2&gt;AF2,1,0)+IF(AA3&gt;AF3,1,0)+IF(AA4&gt;AF4,1,0)+IF(AA5&gt;AF5,1,0)+IF(AA6&gt;AF6,1,0)&gt;4,AA4,-1)</f>
        <v>-1</v>
      </c>
      <c r="AL4" s="36"/>
      <c r="AM4" s="36">
        <f t="shared" si="9"/>
        <v>9.999999999999995E-3</v>
      </c>
      <c r="AN4" s="288">
        <v>0</v>
      </c>
      <c r="AO4" s="288">
        <f t="shared" si="10"/>
        <v>0</v>
      </c>
      <c r="AP4" s="288">
        <f t="shared" ref="AP4:AP37" si="14">IF(AM4="", "", IF($AQ4-(($AT4-$AQ4)/3)&lt;0, 0, $AQ3-(($AT3-$AQ3)/3)))</f>
        <v>8.2567816091954037E-3</v>
      </c>
      <c r="AQ4" s="36">
        <f t="shared" si="11"/>
        <v>3.3793103448275866E-2</v>
      </c>
      <c r="AR4" s="36">
        <f t="shared" si="11"/>
        <v>5.9329425287356324E-2</v>
      </c>
      <c r="AS4" s="36">
        <f t="shared" si="11"/>
        <v>8.4865747126436797E-2</v>
      </c>
      <c r="AT4" s="288">
        <f t="shared" si="12"/>
        <v>0.11040206896551726</v>
      </c>
      <c r="AU4" s="36">
        <f t="shared" si="13"/>
        <v>-1</v>
      </c>
      <c r="AV4" s="36">
        <f>IF(IF(AM3&gt;AS3,1,0)+IF(AM4&gt;AS4,1,0)+IF(AM5&gt;AS5,1,0)+IF(AM3&lt;AO3,1,0)+IF(AM4&lt;AO4,1,0)+IF(AM5&lt;AO5,1,0)&gt;=2,AM4,-1)</f>
        <v>-1</v>
      </c>
      <c r="AW4" s="36">
        <f>IF(IF(AM2&lt;AP2,1,0)+IF(AM4&lt;AP4,1,0)+IF(AM5&lt;AP5,1,0)+IF(AM6&lt;AP6,1,0)+IF(AM3&lt;AP3,1,0)+IF(AM2&gt;AR2,1,0)+IF(AM3&gt;AR3,1,0)+IF(AM4&gt;AR4,1,0)+IF(AM5&gt;AR5,1,0)+IF(AM6&gt;AR6,1,0)&gt;4,AM4,-1)</f>
        <v>-1</v>
      </c>
      <c r="AX4" s="707"/>
      <c r="AY4" s="707"/>
      <c r="AZ4" s="707"/>
      <c r="BA4" s="707"/>
      <c r="BB4" s="707"/>
      <c r="BC4" s="707"/>
      <c r="BD4" s="707"/>
      <c r="BE4" s="707"/>
      <c r="BF4" s="707"/>
      <c r="BG4" s="707"/>
      <c r="BH4" s="707"/>
      <c r="BI4" s="707"/>
      <c r="BJ4" s="293">
        <v>3</v>
      </c>
      <c r="BK4" s="294">
        <v>1.0229999999999999</v>
      </c>
      <c r="BL4" s="294"/>
      <c r="BM4" s="294">
        <v>2.5739999999999998</v>
      </c>
      <c r="BN4" s="295">
        <v>1.6930000000000001</v>
      </c>
    </row>
    <row r="5" spans="1:66">
      <c r="A5" s="1169">
        <v>4</v>
      </c>
      <c r="B5" s="1378">
        <v>0.1</v>
      </c>
      <c r="C5" s="1169"/>
      <c r="D5" s="1169"/>
      <c r="E5" s="1169"/>
      <c r="F5" s="1169"/>
      <c r="G5" s="1169"/>
      <c r="H5" s="1169"/>
      <c r="I5" s="1169"/>
      <c r="J5" s="1169"/>
      <c r="K5" s="1169"/>
      <c r="L5" s="1169"/>
      <c r="M5" s="1169"/>
      <c r="N5" s="1169"/>
      <c r="O5" s="1169"/>
      <c r="P5" s="1169"/>
      <c r="Q5" s="1169"/>
      <c r="R5" s="1169"/>
      <c r="S5" s="1169"/>
      <c r="T5" s="1169"/>
      <c r="U5" s="1169"/>
      <c r="V5" s="1169"/>
      <c r="W5" s="1169"/>
      <c r="X5" s="1169"/>
      <c r="Y5" s="1169"/>
      <c r="Z5" s="1169"/>
      <c r="AA5" s="36">
        <f t="shared" si="0"/>
        <v>0.1</v>
      </c>
      <c r="AB5" s="288">
        <f t="shared" si="1"/>
        <v>-3.2680075962392557E-2</v>
      </c>
      <c r="AC5" s="288">
        <f t="shared" si="2"/>
        <v>1.2324393802849401E-2</v>
      </c>
      <c r="AD5" s="288">
        <f t="shared" si="3"/>
        <v>5.7328863568091366E-2</v>
      </c>
      <c r="AE5" s="288">
        <f t="shared" si="4"/>
        <v>0.10233333333333333</v>
      </c>
      <c r="AF5" s="288">
        <f t="shared" si="5"/>
        <v>0.1473378030985753</v>
      </c>
      <c r="AG5" s="288">
        <f t="shared" si="6"/>
        <v>0.19234227286381728</v>
      </c>
      <c r="AH5" s="288">
        <f t="shared" si="7"/>
        <v>0.23734674262905922</v>
      </c>
      <c r="AI5" s="36">
        <f t="shared" si="8"/>
        <v>-1</v>
      </c>
      <c r="AJ5" s="36">
        <f t="shared" ref="AJ5:AJ37" si="15">IF(IF(AA4&gt;AG4,1,0)+IF(AA5&gt;AG5,1,0)+IF(AA6&gt;AG6,1,0)+IF(AA4&lt;AC4,1,0)+IF(AA5&lt;AC5,1,0)+IF(AA6&lt;AC6,1,0)&gt;=2,AA5,-1)</f>
        <v>-1</v>
      </c>
      <c r="AK5" s="36">
        <f t="shared" ref="AK5:AK37" si="16">IF(IF(AA3&lt;AD3,1,0)+IF(AA5&lt;AD5,1,0)+IF(AA6&lt;AD6,1,0)+IF(AA7&lt;AD7,1,0)+IF(AA4&lt;AD4,1,0)+IF(AA3&gt;AF3,1,0)+IF(AA4&gt;AF4,1,0)+IF(AA5&gt;AF5,1,0)+IF(AA6&gt;AF6,1,0)+IF(AA7&gt;AF7,1,0)&gt;4,AA5,-1)</f>
        <v>-1</v>
      </c>
      <c r="AL5" s="36"/>
      <c r="AM5" s="36">
        <f t="shared" si="9"/>
        <v>1.999999999999999E-2</v>
      </c>
      <c r="AN5" s="288">
        <v>0</v>
      </c>
      <c r="AO5" s="288">
        <f t="shared" si="10"/>
        <v>0</v>
      </c>
      <c r="AP5" s="288">
        <f t="shared" si="14"/>
        <v>8.2567816091954037E-3</v>
      </c>
      <c r="AQ5" s="36">
        <f t="shared" si="11"/>
        <v>3.3793103448275866E-2</v>
      </c>
      <c r="AR5" s="36">
        <f t="shared" si="11"/>
        <v>5.9329425287356324E-2</v>
      </c>
      <c r="AS5" s="36">
        <f t="shared" si="11"/>
        <v>8.4865747126436797E-2</v>
      </c>
      <c r="AT5" s="288">
        <f t="shared" si="12"/>
        <v>0.11040206896551726</v>
      </c>
      <c r="AU5" s="36">
        <f t="shared" si="13"/>
        <v>-1</v>
      </c>
      <c r="AV5" s="36">
        <f t="shared" ref="AV5:AV37" si="17">IF(IF(AM4&gt;AS4,1,0)+IF(AM5&gt;AS5,1,0)+IF(AM6&gt;AS6,1,0)+IF(AM4&lt;AO4,1,0)+IF(AM5&lt;AO5,1,0)+IF(AM6&lt;AO6,1,0)&gt;=2,AM5,-1)</f>
        <v>-1</v>
      </c>
      <c r="AW5" s="36">
        <f t="shared" ref="AW5:AW31" si="18">IF(IF(AM3&lt;AP3,1,0)+IF(AM5&lt;AP5,1,0)+IF(AM6&lt;AP6,1,0)+IF(AM7&lt;AP7,1,0)+IF(AM4&lt;AP4,1,0)+IF(AM3&gt;AR3,1,0)+IF(AM4&gt;AR4,1,0)+IF(AM5&gt;AR5,1,0)+IF(AM6&gt;AR6,1,0)+IF(AM7&gt;AR7,1,0)&gt;4,AM5,-1)</f>
        <v>-1</v>
      </c>
      <c r="AX5" s="707"/>
      <c r="AY5" s="707"/>
      <c r="AZ5" s="707"/>
      <c r="BA5" s="707"/>
      <c r="BB5" s="707"/>
      <c r="BC5" s="707"/>
      <c r="BD5" s="707"/>
      <c r="BE5" s="707"/>
      <c r="BF5" s="707"/>
      <c r="BG5" s="707"/>
      <c r="BH5" s="1170"/>
      <c r="BI5" s="1170"/>
      <c r="BJ5" s="293">
        <v>4</v>
      </c>
      <c r="BK5" s="294">
        <v>0.72899999999999998</v>
      </c>
      <c r="BL5" s="294"/>
      <c r="BM5" s="294">
        <v>2.282</v>
      </c>
      <c r="BN5" s="295">
        <v>2.0590000000000002</v>
      </c>
    </row>
    <row r="6" spans="1:66">
      <c r="A6" s="1169">
        <v>5</v>
      </c>
      <c r="B6" s="1378">
        <v>0.13</v>
      </c>
      <c r="C6" s="1169"/>
      <c r="D6" s="1169"/>
      <c r="E6" s="1169"/>
      <c r="F6" s="1169"/>
      <c r="G6" s="1169"/>
      <c r="H6" s="1169"/>
      <c r="I6" s="1169"/>
      <c r="J6" s="1169"/>
      <c r="K6" s="1169"/>
      <c r="L6" s="1169"/>
      <c r="M6" s="1169"/>
      <c r="N6" s="1169"/>
      <c r="O6" s="1169"/>
      <c r="P6" s="1169"/>
      <c r="Q6" s="1169"/>
      <c r="R6" s="1169"/>
      <c r="S6" s="1169"/>
      <c r="T6" s="1169"/>
      <c r="U6" s="1169"/>
      <c r="V6" s="1169"/>
      <c r="W6" s="1169"/>
      <c r="X6" s="1169"/>
      <c r="Y6" s="1169"/>
      <c r="Z6" s="1169"/>
      <c r="AA6" s="36">
        <f t="shared" si="0"/>
        <v>0.13</v>
      </c>
      <c r="AB6" s="288">
        <f t="shared" si="1"/>
        <v>-3.2680075962392557E-2</v>
      </c>
      <c r="AC6" s="288">
        <f t="shared" si="2"/>
        <v>1.2324393802849401E-2</v>
      </c>
      <c r="AD6" s="288">
        <f t="shared" si="3"/>
        <v>5.7328863568091366E-2</v>
      </c>
      <c r="AE6" s="288">
        <f t="shared" si="4"/>
        <v>0.10233333333333333</v>
      </c>
      <c r="AF6" s="288">
        <f t="shared" si="5"/>
        <v>0.1473378030985753</v>
      </c>
      <c r="AG6" s="288">
        <f t="shared" si="6"/>
        <v>0.19234227286381728</v>
      </c>
      <c r="AH6" s="288">
        <f t="shared" si="7"/>
        <v>0.23734674262905922</v>
      </c>
      <c r="AI6" s="36">
        <f t="shared" si="8"/>
        <v>-1</v>
      </c>
      <c r="AJ6" s="36">
        <f t="shared" si="15"/>
        <v>-1</v>
      </c>
      <c r="AK6" s="36">
        <f t="shared" si="16"/>
        <v>-1</v>
      </c>
      <c r="AL6" s="36"/>
      <c r="AM6" s="36">
        <f t="shared" si="9"/>
        <v>0.03</v>
      </c>
      <c r="AN6" s="288">
        <v>0</v>
      </c>
      <c r="AO6" s="288">
        <f t="shared" si="10"/>
        <v>0</v>
      </c>
      <c r="AP6" s="288">
        <f t="shared" si="14"/>
        <v>8.2567816091954037E-3</v>
      </c>
      <c r="AQ6" s="36">
        <f t="shared" si="11"/>
        <v>3.3793103448275866E-2</v>
      </c>
      <c r="AR6" s="36">
        <f t="shared" si="11"/>
        <v>5.9329425287356324E-2</v>
      </c>
      <c r="AS6" s="36">
        <f t="shared" si="11"/>
        <v>8.4865747126436797E-2</v>
      </c>
      <c r="AT6" s="288">
        <f t="shared" si="12"/>
        <v>0.11040206896551726</v>
      </c>
      <c r="AU6" s="36">
        <f t="shared" si="13"/>
        <v>-1</v>
      </c>
      <c r="AV6" s="36">
        <f t="shared" si="17"/>
        <v>-1</v>
      </c>
      <c r="AW6" s="36">
        <f t="shared" si="18"/>
        <v>-1</v>
      </c>
      <c r="AX6" s="707"/>
      <c r="AY6" s="707"/>
      <c r="AZ6" s="707"/>
      <c r="BA6" s="707"/>
      <c r="BB6" s="707"/>
      <c r="BC6" s="707"/>
      <c r="BD6" s="707"/>
      <c r="BE6" s="707"/>
      <c r="BF6" s="707"/>
      <c r="BG6" s="707"/>
      <c r="BH6" s="1170"/>
      <c r="BI6" s="1170"/>
      <c r="BJ6" s="293">
        <v>5</v>
      </c>
      <c r="BK6" s="294">
        <v>0.57699999999999996</v>
      </c>
      <c r="BL6" s="294"/>
      <c r="BM6" s="294">
        <v>2.1139999999999999</v>
      </c>
      <c r="BN6" s="295">
        <v>2.3260000000000001</v>
      </c>
    </row>
    <row r="7" spans="1:66">
      <c r="A7" s="1169">
        <v>6</v>
      </c>
      <c r="B7" s="1378">
        <v>0.1</v>
      </c>
      <c r="C7" s="1169"/>
      <c r="D7" s="1169"/>
      <c r="E7" s="1169"/>
      <c r="F7" s="1169"/>
      <c r="G7" s="1169"/>
      <c r="H7" s="1169"/>
      <c r="I7" s="1169"/>
      <c r="J7" s="1169"/>
      <c r="K7" s="1169"/>
      <c r="L7" s="1169"/>
      <c r="M7" s="1169"/>
      <c r="N7" s="1169"/>
      <c r="O7" s="1169"/>
      <c r="P7" s="1169"/>
      <c r="Q7" s="1169"/>
      <c r="R7" s="1169"/>
      <c r="S7" s="1169"/>
      <c r="T7" s="1169"/>
      <c r="U7" s="1169"/>
      <c r="V7" s="1169"/>
      <c r="W7" s="1169"/>
      <c r="X7" s="1169"/>
      <c r="Y7" s="1169"/>
      <c r="Z7" s="1169"/>
      <c r="AA7" s="36">
        <f t="shared" si="0"/>
        <v>0.1</v>
      </c>
      <c r="AB7" s="288">
        <f t="shared" si="1"/>
        <v>-3.2680075962392557E-2</v>
      </c>
      <c r="AC7" s="288">
        <f t="shared" si="2"/>
        <v>1.2324393802849401E-2</v>
      </c>
      <c r="AD7" s="288">
        <f t="shared" si="3"/>
        <v>5.7328863568091366E-2</v>
      </c>
      <c r="AE7" s="288">
        <f t="shared" si="4"/>
        <v>0.10233333333333333</v>
      </c>
      <c r="AF7" s="288">
        <f t="shared" si="5"/>
        <v>0.1473378030985753</v>
      </c>
      <c r="AG7" s="288">
        <f t="shared" si="6"/>
        <v>0.19234227286381728</v>
      </c>
      <c r="AH7" s="288">
        <f t="shared" si="7"/>
        <v>0.23734674262905922</v>
      </c>
      <c r="AI7" s="36">
        <f t="shared" si="8"/>
        <v>-1</v>
      </c>
      <c r="AJ7" s="36">
        <f t="shared" si="15"/>
        <v>-1</v>
      </c>
      <c r="AK7" s="36">
        <f t="shared" si="16"/>
        <v>-1</v>
      </c>
      <c r="AL7" s="36"/>
      <c r="AM7" s="36">
        <f t="shared" si="9"/>
        <v>0.03</v>
      </c>
      <c r="AN7" s="288">
        <v>0</v>
      </c>
      <c r="AO7" s="288">
        <f t="shared" si="10"/>
        <v>0</v>
      </c>
      <c r="AP7" s="288">
        <f t="shared" si="14"/>
        <v>8.2567816091954037E-3</v>
      </c>
      <c r="AQ7" s="36">
        <f t="shared" si="11"/>
        <v>3.3793103448275866E-2</v>
      </c>
      <c r="AR7" s="36">
        <f t="shared" si="11"/>
        <v>5.9329425287356324E-2</v>
      </c>
      <c r="AS7" s="36">
        <f t="shared" si="11"/>
        <v>8.4865747126436797E-2</v>
      </c>
      <c r="AT7" s="288">
        <f t="shared" si="12"/>
        <v>0.11040206896551726</v>
      </c>
      <c r="AU7" s="36">
        <f t="shared" si="13"/>
        <v>-1</v>
      </c>
      <c r="AV7" s="36">
        <f t="shared" si="17"/>
        <v>-1</v>
      </c>
      <c r="AW7" s="36">
        <f t="shared" si="18"/>
        <v>-1</v>
      </c>
      <c r="AX7" s="707"/>
      <c r="AY7" s="707"/>
      <c r="AZ7" s="707"/>
      <c r="BA7" s="707"/>
      <c r="BB7" s="707"/>
      <c r="BC7" s="707"/>
      <c r="BD7" s="707"/>
      <c r="BE7" s="707"/>
      <c r="BF7" s="707"/>
      <c r="BG7" s="707"/>
      <c r="BH7" s="707"/>
      <c r="BI7" s="707"/>
      <c r="BJ7" s="293">
        <v>6</v>
      </c>
      <c r="BK7" s="294">
        <v>0.48299999999999998</v>
      </c>
      <c r="BL7" s="294"/>
      <c r="BM7" s="294">
        <v>2.004</v>
      </c>
      <c r="BN7" s="295">
        <v>2.5339999999999998</v>
      </c>
    </row>
    <row r="8" spans="1:66">
      <c r="A8" s="1169">
        <v>7</v>
      </c>
      <c r="B8" s="1378">
        <v>0.08</v>
      </c>
      <c r="C8" s="1169"/>
      <c r="D8" s="1169"/>
      <c r="E8" s="1169"/>
      <c r="F8" s="1169"/>
      <c r="G8" s="1169"/>
      <c r="H8" s="1169"/>
      <c r="I8" s="1169"/>
      <c r="J8" s="1169"/>
      <c r="K8" s="1169"/>
      <c r="L8" s="1169"/>
      <c r="M8" s="1169"/>
      <c r="N8" s="1169"/>
      <c r="O8" s="1169"/>
      <c r="P8" s="1169"/>
      <c r="Q8" s="1169"/>
      <c r="R8" s="1169"/>
      <c r="S8" s="1169"/>
      <c r="T8" s="1169"/>
      <c r="U8" s="1169"/>
      <c r="V8" s="1169"/>
      <c r="W8" s="1169"/>
      <c r="X8" s="1169"/>
      <c r="Y8" s="1169"/>
      <c r="Z8" s="1169"/>
      <c r="AA8" s="36">
        <f t="shared" si="0"/>
        <v>0.08</v>
      </c>
      <c r="AB8" s="288">
        <f t="shared" si="1"/>
        <v>-3.2680075962392557E-2</v>
      </c>
      <c r="AC8" s="288">
        <f t="shared" si="2"/>
        <v>1.2324393802849401E-2</v>
      </c>
      <c r="AD8" s="288">
        <f t="shared" si="3"/>
        <v>5.7328863568091366E-2</v>
      </c>
      <c r="AE8" s="288">
        <f t="shared" si="4"/>
        <v>0.10233333333333333</v>
      </c>
      <c r="AF8" s="288">
        <f t="shared" si="5"/>
        <v>0.1473378030985753</v>
      </c>
      <c r="AG8" s="288">
        <f t="shared" si="6"/>
        <v>0.19234227286381728</v>
      </c>
      <c r="AH8" s="288">
        <f t="shared" si="7"/>
        <v>0.23734674262905922</v>
      </c>
      <c r="AI8" s="36">
        <f t="shared" si="8"/>
        <v>-1</v>
      </c>
      <c r="AJ8" s="36">
        <f t="shared" si="15"/>
        <v>-1</v>
      </c>
      <c r="AK8" s="36">
        <f t="shared" si="16"/>
        <v>-1</v>
      </c>
      <c r="AL8" s="36"/>
      <c r="AM8" s="36">
        <f t="shared" si="9"/>
        <v>2.0000000000000004E-2</v>
      </c>
      <c r="AN8" s="288">
        <v>0</v>
      </c>
      <c r="AO8" s="288">
        <f t="shared" si="10"/>
        <v>0</v>
      </c>
      <c r="AP8" s="288">
        <f t="shared" si="14"/>
        <v>8.2567816091954037E-3</v>
      </c>
      <c r="AQ8" s="36">
        <f t="shared" si="11"/>
        <v>3.3793103448275866E-2</v>
      </c>
      <c r="AR8" s="36">
        <f t="shared" si="11"/>
        <v>5.9329425287356324E-2</v>
      </c>
      <c r="AS8" s="36">
        <f t="shared" si="11"/>
        <v>8.4865747126436797E-2</v>
      </c>
      <c r="AT8" s="288">
        <f t="shared" si="12"/>
        <v>0.11040206896551726</v>
      </c>
      <c r="AU8" s="36">
        <f t="shared" si="13"/>
        <v>-1</v>
      </c>
      <c r="AV8" s="36">
        <f t="shared" si="17"/>
        <v>-1</v>
      </c>
      <c r="AW8" s="36">
        <f t="shared" si="18"/>
        <v>-1</v>
      </c>
      <c r="AX8" s="707"/>
      <c r="AY8" s="707"/>
      <c r="AZ8" s="707"/>
      <c r="BA8" s="707"/>
      <c r="BB8" s="707"/>
      <c r="BC8" s="707"/>
      <c r="BD8" s="707"/>
      <c r="BE8" s="707"/>
      <c r="BF8" s="707"/>
      <c r="BG8" s="707"/>
      <c r="BH8" s="707"/>
      <c r="BI8" s="707"/>
      <c r="BJ8" s="293">
        <v>7</v>
      </c>
      <c r="BK8" s="294">
        <v>0.41899999999999998</v>
      </c>
      <c r="BL8" s="294">
        <v>7.5999999999999998E-2</v>
      </c>
      <c r="BM8" s="294">
        <v>1.9239999999999999</v>
      </c>
      <c r="BN8" s="295">
        <v>2.7040000000000002</v>
      </c>
    </row>
    <row r="9" spans="1:66">
      <c r="A9" s="1169">
        <v>8</v>
      </c>
      <c r="B9" s="1378">
        <v>0.06</v>
      </c>
      <c r="C9" s="1169"/>
      <c r="D9" s="1169"/>
      <c r="E9" s="1169"/>
      <c r="F9" s="1169"/>
      <c r="G9" s="1169"/>
      <c r="H9" s="1169"/>
      <c r="I9" s="1169"/>
      <c r="J9" s="1169"/>
      <c r="K9" s="1169"/>
      <c r="L9" s="1169"/>
      <c r="M9" s="1169"/>
      <c r="N9" s="1169"/>
      <c r="O9" s="1169"/>
      <c r="P9" s="1169"/>
      <c r="Q9" s="1169"/>
      <c r="R9" s="1169"/>
      <c r="S9" s="1169"/>
      <c r="T9" s="1169"/>
      <c r="U9" s="1169"/>
      <c r="V9" s="1169"/>
      <c r="W9" s="1169"/>
      <c r="X9" s="1169"/>
      <c r="Y9" s="1169"/>
      <c r="Z9" s="1169"/>
      <c r="AA9" s="36">
        <f t="shared" si="0"/>
        <v>0.06</v>
      </c>
      <c r="AB9" s="288">
        <f t="shared" si="1"/>
        <v>-3.2680075962392557E-2</v>
      </c>
      <c r="AC9" s="288">
        <f t="shared" si="2"/>
        <v>1.2324393802849401E-2</v>
      </c>
      <c r="AD9" s="288">
        <f t="shared" si="3"/>
        <v>5.7328863568091366E-2</v>
      </c>
      <c r="AE9" s="288">
        <f t="shared" si="4"/>
        <v>0.10233333333333333</v>
      </c>
      <c r="AF9" s="288">
        <f t="shared" si="5"/>
        <v>0.1473378030985753</v>
      </c>
      <c r="AG9" s="288">
        <f t="shared" si="6"/>
        <v>0.19234227286381728</v>
      </c>
      <c r="AH9" s="288">
        <f t="shared" si="7"/>
        <v>0.23734674262905922</v>
      </c>
      <c r="AI9" s="36">
        <f t="shared" si="8"/>
        <v>-1</v>
      </c>
      <c r="AJ9" s="36">
        <f t="shared" si="15"/>
        <v>-1</v>
      </c>
      <c r="AK9" s="36">
        <f t="shared" si="16"/>
        <v>-1</v>
      </c>
      <c r="AL9" s="36"/>
      <c r="AM9" s="36">
        <f t="shared" si="9"/>
        <v>2.0000000000000004E-2</v>
      </c>
      <c r="AN9" s="288">
        <v>0</v>
      </c>
      <c r="AO9" s="288">
        <f t="shared" si="10"/>
        <v>0</v>
      </c>
      <c r="AP9" s="288">
        <f t="shared" si="14"/>
        <v>8.2567816091954037E-3</v>
      </c>
      <c r="AQ9" s="36">
        <f t="shared" si="11"/>
        <v>3.3793103448275866E-2</v>
      </c>
      <c r="AR9" s="36">
        <f t="shared" si="11"/>
        <v>5.9329425287356324E-2</v>
      </c>
      <c r="AS9" s="36">
        <f t="shared" si="11"/>
        <v>8.4865747126436797E-2</v>
      </c>
      <c r="AT9" s="288">
        <f t="shared" si="12"/>
        <v>0.11040206896551726</v>
      </c>
      <c r="AU9" s="36">
        <f t="shared" si="13"/>
        <v>-1</v>
      </c>
      <c r="AV9" s="36">
        <f t="shared" si="17"/>
        <v>-1</v>
      </c>
      <c r="AW9" s="36">
        <f t="shared" si="18"/>
        <v>-1</v>
      </c>
      <c r="AX9" s="707"/>
      <c r="AY9" s="707"/>
      <c r="AZ9" s="707"/>
      <c r="BA9" s="707"/>
      <c r="BB9" s="707"/>
      <c r="BC9" s="707"/>
      <c r="BD9" s="707"/>
      <c r="BE9" s="707"/>
      <c r="BF9" s="707"/>
      <c r="BG9" s="707"/>
      <c r="BH9" s="707"/>
      <c r="BI9" s="707"/>
      <c r="BJ9" s="293">
        <v>8</v>
      </c>
      <c r="BK9" s="294">
        <v>0.373</v>
      </c>
      <c r="BL9" s="294">
        <v>0.13600000000000001</v>
      </c>
      <c r="BM9" s="294">
        <v>1.8640000000000001</v>
      </c>
      <c r="BN9" s="295">
        <v>2.847</v>
      </c>
    </row>
    <row r="10" spans="1:66">
      <c r="A10" s="1169">
        <v>9</v>
      </c>
      <c r="B10" s="1378">
        <v>0.03</v>
      </c>
      <c r="C10" s="1169"/>
      <c r="D10" s="1169"/>
      <c r="E10" s="1169"/>
      <c r="F10" s="1169"/>
      <c r="G10" s="1169"/>
      <c r="H10" s="1169"/>
      <c r="I10" s="1169"/>
      <c r="J10" s="1169"/>
      <c r="K10" s="1169"/>
      <c r="L10" s="1169"/>
      <c r="M10" s="1169"/>
      <c r="N10" s="1169"/>
      <c r="O10" s="1169"/>
      <c r="P10" s="1169"/>
      <c r="Q10" s="1169"/>
      <c r="R10" s="1169"/>
      <c r="S10" s="1169"/>
      <c r="T10" s="1169"/>
      <c r="U10" s="1169"/>
      <c r="V10" s="1169"/>
      <c r="W10" s="1169"/>
      <c r="X10" s="1169"/>
      <c r="Y10" s="1169"/>
      <c r="Z10" s="1169"/>
      <c r="AA10" s="36">
        <f t="shared" si="0"/>
        <v>0.03</v>
      </c>
      <c r="AB10" s="288">
        <f t="shared" si="1"/>
        <v>-3.2680075962392557E-2</v>
      </c>
      <c r="AC10" s="288">
        <f t="shared" si="2"/>
        <v>1.2324393802849401E-2</v>
      </c>
      <c r="AD10" s="288">
        <f t="shared" si="3"/>
        <v>5.7328863568091366E-2</v>
      </c>
      <c r="AE10" s="288">
        <f t="shared" si="4"/>
        <v>0.10233333333333333</v>
      </c>
      <c r="AF10" s="288">
        <f t="shared" si="5"/>
        <v>0.1473378030985753</v>
      </c>
      <c r="AG10" s="288">
        <f t="shared" si="6"/>
        <v>0.19234227286381728</v>
      </c>
      <c r="AH10" s="288">
        <f t="shared" si="7"/>
        <v>0.23734674262905922</v>
      </c>
      <c r="AI10" s="36">
        <f t="shared" si="8"/>
        <v>-1</v>
      </c>
      <c r="AJ10" s="36">
        <f t="shared" si="15"/>
        <v>-1</v>
      </c>
      <c r="AK10" s="36">
        <f t="shared" si="16"/>
        <v>-1</v>
      </c>
      <c r="AL10" s="36"/>
      <c r="AM10" s="36">
        <f t="shared" si="9"/>
        <v>0.03</v>
      </c>
      <c r="AN10" s="288">
        <v>0</v>
      </c>
      <c r="AO10" s="288">
        <f t="shared" si="10"/>
        <v>0</v>
      </c>
      <c r="AP10" s="288">
        <f t="shared" si="14"/>
        <v>8.2567816091954037E-3</v>
      </c>
      <c r="AQ10" s="36">
        <f t="shared" si="11"/>
        <v>3.3793103448275866E-2</v>
      </c>
      <c r="AR10" s="36">
        <f t="shared" si="11"/>
        <v>5.9329425287356324E-2</v>
      </c>
      <c r="AS10" s="36">
        <f t="shared" si="11"/>
        <v>8.4865747126436797E-2</v>
      </c>
      <c r="AT10" s="288">
        <f t="shared" si="12"/>
        <v>0.11040206896551726</v>
      </c>
      <c r="AU10" s="36">
        <f t="shared" si="13"/>
        <v>-1</v>
      </c>
      <c r="AV10" s="36">
        <f t="shared" si="17"/>
        <v>-1</v>
      </c>
      <c r="AW10" s="36">
        <f t="shared" si="18"/>
        <v>-1</v>
      </c>
      <c r="AX10" s="707"/>
      <c r="AY10" s="707"/>
      <c r="AZ10" s="707"/>
      <c r="BA10" s="707"/>
      <c r="BB10" s="707"/>
      <c r="BC10" s="707"/>
      <c r="BD10" s="707"/>
      <c r="BE10" s="707"/>
      <c r="BF10" s="707"/>
      <c r="BG10" s="707"/>
      <c r="BH10" s="707"/>
      <c r="BI10" s="707"/>
      <c r="BJ10" s="293">
        <v>9</v>
      </c>
      <c r="BK10" s="294">
        <v>0.33700000000000002</v>
      </c>
      <c r="BL10" s="294">
        <v>0.184</v>
      </c>
      <c r="BM10" s="294">
        <v>1.8160000000000001</v>
      </c>
      <c r="BN10" s="295">
        <v>2.97</v>
      </c>
    </row>
    <row r="11" spans="1:66">
      <c r="A11" s="1169">
        <v>10</v>
      </c>
      <c r="B11" s="1378">
        <v>0.08</v>
      </c>
      <c r="C11" s="1169"/>
      <c r="D11" s="1169"/>
      <c r="E11" s="1171"/>
      <c r="F11" s="1169"/>
      <c r="G11" s="1169"/>
      <c r="H11" s="1169"/>
      <c r="I11" s="1169"/>
      <c r="J11" s="1169"/>
      <c r="K11" s="1169"/>
      <c r="L11" s="1169"/>
      <c r="M11" s="1169"/>
      <c r="N11" s="1169"/>
      <c r="O11" s="1169"/>
      <c r="P11" s="1169"/>
      <c r="Q11" s="1169"/>
      <c r="R11" s="1169"/>
      <c r="S11" s="1169"/>
      <c r="T11" s="1169"/>
      <c r="U11" s="1169"/>
      <c r="V11" s="1169"/>
      <c r="W11" s="1169"/>
      <c r="X11" s="1169"/>
      <c r="Y11" s="1169"/>
      <c r="Z11" s="1169"/>
      <c r="AA11" s="36">
        <f t="shared" si="0"/>
        <v>0.08</v>
      </c>
      <c r="AB11" s="288">
        <f t="shared" si="1"/>
        <v>-3.2680075962392557E-2</v>
      </c>
      <c r="AC11" s="288">
        <f t="shared" si="2"/>
        <v>1.2324393802849401E-2</v>
      </c>
      <c r="AD11" s="288">
        <f t="shared" si="3"/>
        <v>5.7328863568091366E-2</v>
      </c>
      <c r="AE11" s="288">
        <f t="shared" si="4"/>
        <v>0.10233333333333333</v>
      </c>
      <c r="AF11" s="288">
        <f t="shared" si="5"/>
        <v>0.1473378030985753</v>
      </c>
      <c r="AG11" s="288">
        <f t="shared" si="6"/>
        <v>0.19234227286381728</v>
      </c>
      <c r="AH11" s="288">
        <f t="shared" si="7"/>
        <v>0.23734674262905922</v>
      </c>
      <c r="AI11" s="36">
        <f t="shared" si="8"/>
        <v>-1</v>
      </c>
      <c r="AJ11" s="36">
        <f t="shared" si="15"/>
        <v>-1</v>
      </c>
      <c r="AK11" s="36">
        <f t="shared" si="16"/>
        <v>-1</v>
      </c>
      <c r="AL11" s="36"/>
      <c r="AM11" s="36">
        <f t="shared" si="9"/>
        <v>0.05</v>
      </c>
      <c r="AN11" s="288">
        <v>0</v>
      </c>
      <c r="AO11" s="288">
        <f t="shared" si="10"/>
        <v>0</v>
      </c>
      <c r="AP11" s="288">
        <f t="shared" si="14"/>
        <v>8.2567816091954037E-3</v>
      </c>
      <c r="AQ11" s="36">
        <f t="shared" si="11"/>
        <v>3.3793103448275866E-2</v>
      </c>
      <c r="AR11" s="36">
        <f t="shared" si="11"/>
        <v>5.9329425287356324E-2</v>
      </c>
      <c r="AS11" s="36">
        <f t="shared" si="11"/>
        <v>8.4865747126436797E-2</v>
      </c>
      <c r="AT11" s="288">
        <f t="shared" si="12"/>
        <v>0.11040206896551726</v>
      </c>
      <c r="AU11" s="36">
        <f t="shared" si="13"/>
        <v>-1</v>
      </c>
      <c r="AV11" s="36">
        <f t="shared" si="17"/>
        <v>-1</v>
      </c>
      <c r="AW11" s="36">
        <f t="shared" si="18"/>
        <v>-1</v>
      </c>
      <c r="AX11" s="707"/>
      <c r="AY11" s="707"/>
      <c r="AZ11" s="707"/>
      <c r="BA11" s="707"/>
      <c r="BB11" s="707"/>
      <c r="BC11" s="707"/>
      <c r="BD11" s="707"/>
      <c r="BE11" s="707"/>
      <c r="BF11" s="707"/>
      <c r="BG11" s="707"/>
      <c r="BH11" s="707"/>
      <c r="BI11" s="707"/>
      <c r="BJ11" s="293">
        <v>10</v>
      </c>
      <c r="BK11" s="294">
        <v>0.308</v>
      </c>
      <c r="BL11" s="294">
        <v>0.223</v>
      </c>
      <c r="BM11" s="294">
        <v>1.7769999999999999</v>
      </c>
      <c r="BN11" s="295">
        <v>3.0779999999999998</v>
      </c>
    </row>
    <row r="12" spans="1:66">
      <c r="A12" s="1169">
        <v>11</v>
      </c>
      <c r="B12" s="1378">
        <v>0.08</v>
      </c>
      <c r="C12" s="1169"/>
      <c r="D12" s="1169"/>
      <c r="E12" s="1169"/>
      <c r="F12" s="1169"/>
      <c r="G12" s="1169"/>
      <c r="H12" s="1169"/>
      <c r="I12" s="1169"/>
      <c r="J12" s="1169"/>
      <c r="K12" s="1169"/>
      <c r="L12" s="1169"/>
      <c r="M12" s="1169"/>
      <c r="N12" s="1169"/>
      <c r="O12" s="1169"/>
      <c r="P12" s="1169"/>
      <c r="Q12" s="1169"/>
      <c r="R12" s="1169"/>
      <c r="S12" s="1169"/>
      <c r="T12" s="1169"/>
      <c r="U12" s="1169"/>
      <c r="V12" s="1169"/>
      <c r="W12" s="1169"/>
      <c r="X12" s="1169"/>
      <c r="Y12" s="1169"/>
      <c r="Z12" s="1169"/>
      <c r="AA12" s="36">
        <f t="shared" si="0"/>
        <v>0.08</v>
      </c>
      <c r="AB12" s="288">
        <f t="shared" si="1"/>
        <v>-3.2680075962392557E-2</v>
      </c>
      <c r="AC12" s="288">
        <f t="shared" si="2"/>
        <v>1.2324393802849401E-2</v>
      </c>
      <c r="AD12" s="288">
        <f t="shared" si="3"/>
        <v>5.7328863568091366E-2</v>
      </c>
      <c r="AE12" s="288">
        <f t="shared" si="4"/>
        <v>0.10233333333333333</v>
      </c>
      <c r="AF12" s="288">
        <f t="shared" si="5"/>
        <v>0.1473378030985753</v>
      </c>
      <c r="AG12" s="288">
        <f t="shared" si="6"/>
        <v>0.19234227286381728</v>
      </c>
      <c r="AH12" s="288">
        <f t="shared" si="7"/>
        <v>0.23734674262905922</v>
      </c>
      <c r="AI12" s="36">
        <f t="shared" si="8"/>
        <v>-1</v>
      </c>
      <c r="AJ12" s="36">
        <f t="shared" si="15"/>
        <v>-1</v>
      </c>
      <c r="AK12" s="36">
        <f t="shared" si="16"/>
        <v>-1</v>
      </c>
      <c r="AL12" s="36"/>
      <c r="AM12" s="36">
        <f t="shared" si="9"/>
        <v>0</v>
      </c>
      <c r="AN12" s="288">
        <v>0</v>
      </c>
      <c r="AO12" s="288">
        <f t="shared" si="10"/>
        <v>0</v>
      </c>
      <c r="AP12" s="288">
        <f t="shared" si="14"/>
        <v>8.2567816091954037E-3</v>
      </c>
      <c r="AQ12" s="36">
        <f t="shared" si="11"/>
        <v>3.3793103448275866E-2</v>
      </c>
      <c r="AR12" s="36">
        <f t="shared" si="11"/>
        <v>5.9329425287356324E-2</v>
      </c>
      <c r="AS12" s="36">
        <f t="shared" si="11"/>
        <v>8.4865747126436797E-2</v>
      </c>
      <c r="AT12" s="288">
        <f t="shared" si="12"/>
        <v>0.11040206896551726</v>
      </c>
      <c r="AU12" s="36">
        <f t="shared" si="13"/>
        <v>-1</v>
      </c>
      <c r="AV12" s="36">
        <f t="shared" si="17"/>
        <v>-1</v>
      </c>
      <c r="AW12" s="36">
        <f t="shared" si="18"/>
        <v>-1</v>
      </c>
      <c r="AX12" s="707"/>
      <c r="AY12" s="707"/>
      <c r="AZ12" s="707"/>
      <c r="BA12" s="707"/>
      <c r="BB12" s="707"/>
      <c r="BC12" s="707"/>
      <c r="BD12" s="707"/>
      <c r="BE12" s="707"/>
      <c r="BF12" s="707"/>
      <c r="BG12" s="707"/>
      <c r="BH12" s="707"/>
      <c r="BI12" s="707"/>
      <c r="BJ12" s="293">
        <v>11</v>
      </c>
      <c r="BK12" s="294">
        <v>0.28499999999999998</v>
      </c>
      <c r="BL12" s="294">
        <v>0.25600000000000001</v>
      </c>
      <c r="BM12" s="294">
        <v>1.774</v>
      </c>
      <c r="BN12" s="295">
        <v>3.173</v>
      </c>
    </row>
    <row r="13" spans="1:66">
      <c r="A13" s="1169">
        <v>12</v>
      </c>
      <c r="B13" s="1378">
        <v>0.08</v>
      </c>
      <c r="C13" s="1169"/>
      <c r="D13" s="1169"/>
      <c r="E13" s="1169"/>
      <c r="F13" s="1169"/>
      <c r="G13" s="1169"/>
      <c r="H13" s="1169"/>
      <c r="I13" s="1169"/>
      <c r="J13" s="1169"/>
      <c r="K13" s="1169"/>
      <c r="L13" s="1169"/>
      <c r="M13" s="1169"/>
      <c r="N13" s="1169"/>
      <c r="O13" s="1169"/>
      <c r="P13" s="1169"/>
      <c r="Q13" s="1169"/>
      <c r="R13" s="1169"/>
      <c r="S13" s="1169"/>
      <c r="T13" s="1169"/>
      <c r="U13" s="1169"/>
      <c r="V13" s="1169"/>
      <c r="W13" s="1169"/>
      <c r="X13" s="1169"/>
      <c r="Y13" s="1169"/>
      <c r="Z13" s="1169"/>
      <c r="AA13" s="36">
        <f t="shared" si="0"/>
        <v>0.08</v>
      </c>
      <c r="AB13" s="288">
        <f t="shared" si="1"/>
        <v>-3.2680075962392557E-2</v>
      </c>
      <c r="AC13" s="288">
        <f t="shared" si="2"/>
        <v>1.2324393802849401E-2</v>
      </c>
      <c r="AD13" s="288">
        <f t="shared" si="3"/>
        <v>5.7328863568091366E-2</v>
      </c>
      <c r="AE13" s="288">
        <f t="shared" si="4"/>
        <v>0.10233333333333333</v>
      </c>
      <c r="AF13" s="288">
        <f t="shared" si="5"/>
        <v>0.1473378030985753</v>
      </c>
      <c r="AG13" s="288">
        <f t="shared" si="6"/>
        <v>0.19234227286381728</v>
      </c>
      <c r="AH13" s="288">
        <f t="shared" si="7"/>
        <v>0.23734674262905922</v>
      </c>
      <c r="AI13" s="36">
        <f t="shared" si="8"/>
        <v>-1</v>
      </c>
      <c r="AJ13" s="36">
        <f t="shared" si="15"/>
        <v>-1</v>
      </c>
      <c r="AK13" s="36">
        <f t="shared" si="16"/>
        <v>-1</v>
      </c>
      <c r="AL13" s="36"/>
      <c r="AM13" s="36">
        <f t="shared" si="9"/>
        <v>0</v>
      </c>
      <c r="AN13" s="288">
        <v>0</v>
      </c>
      <c r="AO13" s="288">
        <f t="shared" si="10"/>
        <v>0</v>
      </c>
      <c r="AP13" s="288">
        <f t="shared" si="14"/>
        <v>8.2567816091954037E-3</v>
      </c>
      <c r="AQ13" s="36">
        <f t="shared" si="11"/>
        <v>3.3793103448275866E-2</v>
      </c>
      <c r="AR13" s="36">
        <f t="shared" si="11"/>
        <v>5.9329425287356324E-2</v>
      </c>
      <c r="AS13" s="36">
        <f t="shared" si="11"/>
        <v>8.4865747126436797E-2</v>
      </c>
      <c r="AT13" s="288">
        <f t="shared" si="12"/>
        <v>0.11040206896551726</v>
      </c>
      <c r="AU13" s="36">
        <f t="shared" si="13"/>
        <v>-1</v>
      </c>
      <c r="AV13" s="36">
        <f t="shared" si="17"/>
        <v>-1</v>
      </c>
      <c r="AW13" s="36">
        <f t="shared" si="18"/>
        <v>-1</v>
      </c>
      <c r="AX13" s="707"/>
      <c r="AY13" s="707"/>
      <c r="AZ13" s="707"/>
      <c r="BA13" s="707"/>
      <c r="BB13" s="707"/>
      <c r="BC13" s="707"/>
      <c r="BD13" s="707"/>
      <c r="BE13" s="707"/>
      <c r="BF13" s="707"/>
      <c r="BG13" s="707"/>
      <c r="BH13" s="707"/>
      <c r="BI13" s="707"/>
      <c r="BJ13" s="293">
        <v>12</v>
      </c>
      <c r="BK13" s="294">
        <v>0.26600000000000001</v>
      </c>
      <c r="BL13" s="294">
        <v>0.28399999999999997</v>
      </c>
      <c r="BM13" s="294">
        <v>1.716</v>
      </c>
      <c r="BN13" s="295">
        <v>3.258</v>
      </c>
    </row>
    <row r="14" spans="1:66">
      <c r="A14" s="1169">
        <v>13</v>
      </c>
      <c r="B14" s="1378">
        <v>0.1</v>
      </c>
      <c r="C14" s="1169"/>
      <c r="D14" s="1169"/>
      <c r="E14" s="1169"/>
      <c r="F14" s="1169"/>
      <c r="G14" s="1169"/>
      <c r="H14" s="1169"/>
      <c r="I14" s="1169"/>
      <c r="J14" s="1169"/>
      <c r="K14" s="1169"/>
      <c r="L14" s="1169"/>
      <c r="M14" s="1169"/>
      <c r="N14" s="1169"/>
      <c r="O14" s="1169"/>
      <c r="P14" s="1169"/>
      <c r="Q14" s="1169"/>
      <c r="R14" s="1169"/>
      <c r="S14" s="1169"/>
      <c r="T14" s="1169"/>
      <c r="U14" s="1169"/>
      <c r="V14" s="1169"/>
      <c r="W14" s="1169"/>
      <c r="X14" s="1169"/>
      <c r="Y14" s="1169"/>
      <c r="Z14" s="1169"/>
      <c r="AA14" s="36">
        <f t="shared" si="0"/>
        <v>0.1</v>
      </c>
      <c r="AB14" s="288">
        <f t="shared" si="1"/>
        <v>-3.2680075962392557E-2</v>
      </c>
      <c r="AC14" s="288">
        <f t="shared" si="2"/>
        <v>1.2324393802849401E-2</v>
      </c>
      <c r="AD14" s="288">
        <f t="shared" si="3"/>
        <v>5.7328863568091366E-2</v>
      </c>
      <c r="AE14" s="288">
        <f t="shared" si="4"/>
        <v>0.10233333333333333</v>
      </c>
      <c r="AF14" s="288">
        <f t="shared" si="5"/>
        <v>0.1473378030985753</v>
      </c>
      <c r="AG14" s="288">
        <f t="shared" si="6"/>
        <v>0.19234227286381728</v>
      </c>
      <c r="AH14" s="288">
        <f t="shared" si="7"/>
        <v>0.23734674262905922</v>
      </c>
      <c r="AI14" s="36">
        <f t="shared" si="8"/>
        <v>-1</v>
      </c>
      <c r="AJ14" s="36">
        <f t="shared" si="15"/>
        <v>-1</v>
      </c>
      <c r="AK14" s="36">
        <f t="shared" si="16"/>
        <v>-1</v>
      </c>
      <c r="AL14" s="36"/>
      <c r="AM14" s="36">
        <f t="shared" si="9"/>
        <v>2.0000000000000004E-2</v>
      </c>
      <c r="AN14" s="288">
        <v>0</v>
      </c>
      <c r="AO14" s="288">
        <f t="shared" si="10"/>
        <v>0</v>
      </c>
      <c r="AP14" s="288">
        <f t="shared" si="14"/>
        <v>8.2567816091954037E-3</v>
      </c>
      <c r="AQ14" s="36">
        <f t="shared" si="11"/>
        <v>3.3793103448275866E-2</v>
      </c>
      <c r="AR14" s="36">
        <f t="shared" si="11"/>
        <v>5.9329425287356324E-2</v>
      </c>
      <c r="AS14" s="36">
        <f t="shared" si="11"/>
        <v>8.4865747126436797E-2</v>
      </c>
      <c r="AT14" s="288">
        <f t="shared" si="12"/>
        <v>0.11040206896551726</v>
      </c>
      <c r="AU14" s="36">
        <f t="shared" si="13"/>
        <v>-1</v>
      </c>
      <c r="AV14" s="36">
        <f t="shared" si="17"/>
        <v>-1</v>
      </c>
      <c r="AW14" s="36">
        <f t="shared" si="18"/>
        <v>-1</v>
      </c>
      <c r="AX14" s="707"/>
      <c r="AY14" s="707"/>
      <c r="AZ14" s="707"/>
      <c r="BA14" s="707"/>
      <c r="BB14" s="707"/>
      <c r="BC14" s="707"/>
      <c r="BD14" s="707"/>
      <c r="BE14" s="707"/>
      <c r="BF14" s="707"/>
      <c r="BG14" s="707"/>
      <c r="BH14" s="707"/>
      <c r="BI14" s="707"/>
      <c r="BJ14" s="293">
        <v>13</v>
      </c>
      <c r="BK14" s="294">
        <v>0.249</v>
      </c>
      <c r="BL14" s="294">
        <v>0.308</v>
      </c>
      <c r="BM14" s="294">
        <v>1.6919999999999999</v>
      </c>
      <c r="BN14" s="295">
        <v>3.3359999999999999</v>
      </c>
    </row>
    <row r="15" spans="1:66">
      <c r="A15" s="1169">
        <v>14</v>
      </c>
      <c r="B15" s="1378">
        <v>0.09</v>
      </c>
      <c r="C15" s="1169"/>
      <c r="D15" s="1169"/>
      <c r="E15" s="1169"/>
      <c r="F15" s="1169"/>
      <c r="G15" s="1169"/>
      <c r="H15" s="1169"/>
      <c r="I15" s="1169"/>
      <c r="J15" s="1169"/>
      <c r="K15" s="1169"/>
      <c r="L15" s="1169"/>
      <c r="M15" s="1169"/>
      <c r="N15" s="1169"/>
      <c r="O15" s="1169"/>
      <c r="P15" s="1169"/>
      <c r="Q15" s="1169"/>
      <c r="R15" s="1169"/>
      <c r="S15" s="1169"/>
      <c r="T15" s="1169"/>
      <c r="U15" s="1169"/>
      <c r="V15" s="1169"/>
      <c r="W15" s="1169"/>
      <c r="X15" s="1169"/>
      <c r="Y15" s="1169"/>
      <c r="Z15" s="1169"/>
      <c r="AA15" s="36">
        <f t="shared" si="0"/>
        <v>0.09</v>
      </c>
      <c r="AB15" s="288">
        <f t="shared" si="1"/>
        <v>-3.2680075962392557E-2</v>
      </c>
      <c r="AC15" s="288">
        <f t="shared" si="2"/>
        <v>1.2324393802849401E-2</v>
      </c>
      <c r="AD15" s="288">
        <f t="shared" si="3"/>
        <v>5.7328863568091366E-2</v>
      </c>
      <c r="AE15" s="288">
        <f t="shared" si="4"/>
        <v>0.10233333333333333</v>
      </c>
      <c r="AF15" s="288">
        <f t="shared" si="5"/>
        <v>0.1473378030985753</v>
      </c>
      <c r="AG15" s="288">
        <f t="shared" si="6"/>
        <v>0.19234227286381728</v>
      </c>
      <c r="AH15" s="288">
        <f t="shared" si="7"/>
        <v>0.23734674262905922</v>
      </c>
      <c r="AI15" s="36">
        <f t="shared" si="8"/>
        <v>-1</v>
      </c>
      <c r="AJ15" s="36">
        <f t="shared" si="15"/>
        <v>-1</v>
      </c>
      <c r="AK15" s="36">
        <f t="shared" si="16"/>
        <v>-1</v>
      </c>
      <c r="AL15" s="36"/>
      <c r="AM15" s="36">
        <f t="shared" si="9"/>
        <v>1.0000000000000009E-2</v>
      </c>
      <c r="AN15" s="288">
        <v>0</v>
      </c>
      <c r="AO15" s="288">
        <f t="shared" si="10"/>
        <v>0</v>
      </c>
      <c r="AP15" s="288">
        <f t="shared" si="14"/>
        <v>8.2567816091954037E-3</v>
      </c>
      <c r="AQ15" s="36">
        <f t="shared" si="11"/>
        <v>3.3793103448275866E-2</v>
      </c>
      <c r="AR15" s="36">
        <f t="shared" si="11"/>
        <v>5.9329425287356324E-2</v>
      </c>
      <c r="AS15" s="36">
        <f t="shared" si="11"/>
        <v>8.4865747126436797E-2</v>
      </c>
      <c r="AT15" s="288">
        <f t="shared" si="12"/>
        <v>0.11040206896551726</v>
      </c>
      <c r="AU15" s="36">
        <f t="shared" si="13"/>
        <v>-1</v>
      </c>
      <c r="AV15" s="36">
        <f t="shared" si="17"/>
        <v>-1</v>
      </c>
      <c r="AW15" s="36">
        <f t="shared" si="18"/>
        <v>-1</v>
      </c>
      <c r="AX15" s="707"/>
      <c r="AY15" s="707"/>
      <c r="AZ15" s="707"/>
      <c r="BA15" s="707"/>
      <c r="BB15" s="707"/>
      <c r="BC15" s="707"/>
      <c r="BD15" s="707"/>
      <c r="BE15" s="707"/>
      <c r="BF15" s="707"/>
      <c r="BG15" s="707"/>
      <c r="BH15" s="707"/>
      <c r="BI15" s="707"/>
      <c r="BJ15" s="293">
        <v>14</v>
      </c>
      <c r="BK15" s="294">
        <v>0.23499999999999999</v>
      </c>
      <c r="BL15" s="294">
        <v>0.32900000000000001</v>
      </c>
      <c r="BM15" s="294">
        <v>1.671</v>
      </c>
      <c r="BN15" s="295">
        <v>3.407</v>
      </c>
    </row>
    <row r="16" spans="1:66">
      <c r="A16" s="1169">
        <v>15</v>
      </c>
      <c r="B16" s="1378">
        <v>0.08</v>
      </c>
      <c r="C16" s="1169"/>
      <c r="D16" s="1169"/>
      <c r="E16" s="1169"/>
      <c r="F16" s="1169"/>
      <c r="G16" s="1169"/>
      <c r="H16" s="1169"/>
      <c r="I16" s="1169"/>
      <c r="J16" s="1169"/>
      <c r="K16" s="1169"/>
      <c r="L16" s="1169"/>
      <c r="M16" s="1169"/>
      <c r="N16" s="1169"/>
      <c r="O16" s="1169"/>
      <c r="P16" s="1169"/>
      <c r="Q16" s="1169"/>
      <c r="R16" s="1169"/>
      <c r="S16" s="1169"/>
      <c r="T16" s="1169"/>
      <c r="U16" s="1169"/>
      <c r="V16" s="1169"/>
      <c r="W16" s="1169"/>
      <c r="X16" s="1169"/>
      <c r="Y16" s="1169"/>
      <c r="Z16" s="1169"/>
      <c r="AA16" s="36">
        <f t="shared" si="0"/>
        <v>0.08</v>
      </c>
      <c r="AB16" s="288">
        <f t="shared" si="1"/>
        <v>-3.2680075962392557E-2</v>
      </c>
      <c r="AC16" s="288">
        <f t="shared" si="2"/>
        <v>1.2324393802849401E-2</v>
      </c>
      <c r="AD16" s="288">
        <f t="shared" si="3"/>
        <v>5.7328863568091366E-2</v>
      </c>
      <c r="AE16" s="288">
        <f t="shared" si="4"/>
        <v>0.10233333333333333</v>
      </c>
      <c r="AF16" s="288">
        <f t="shared" si="5"/>
        <v>0.1473378030985753</v>
      </c>
      <c r="AG16" s="288">
        <f t="shared" si="6"/>
        <v>0.19234227286381728</v>
      </c>
      <c r="AH16" s="288">
        <f t="shared" si="7"/>
        <v>0.23734674262905922</v>
      </c>
      <c r="AI16" s="36">
        <f t="shared" si="8"/>
        <v>-1</v>
      </c>
      <c r="AJ16" s="36">
        <f t="shared" si="15"/>
        <v>-1</v>
      </c>
      <c r="AK16" s="36">
        <f t="shared" si="16"/>
        <v>-1</v>
      </c>
      <c r="AL16" s="36"/>
      <c r="AM16" s="36">
        <f t="shared" si="9"/>
        <v>9.999999999999995E-3</v>
      </c>
      <c r="AN16" s="288">
        <v>0</v>
      </c>
      <c r="AO16" s="288">
        <f t="shared" si="10"/>
        <v>0</v>
      </c>
      <c r="AP16" s="288">
        <f t="shared" si="14"/>
        <v>8.2567816091954037E-3</v>
      </c>
      <c r="AQ16" s="36">
        <f t="shared" si="11"/>
        <v>3.3793103448275866E-2</v>
      </c>
      <c r="AR16" s="36">
        <f t="shared" si="11"/>
        <v>5.9329425287356324E-2</v>
      </c>
      <c r="AS16" s="36">
        <f t="shared" si="11"/>
        <v>8.4865747126436797E-2</v>
      </c>
      <c r="AT16" s="288">
        <f t="shared" si="12"/>
        <v>0.11040206896551726</v>
      </c>
      <c r="AU16" s="36">
        <f t="shared" si="13"/>
        <v>-1</v>
      </c>
      <c r="AV16" s="36">
        <f t="shared" si="17"/>
        <v>-1</v>
      </c>
      <c r="AW16" s="36">
        <f t="shared" si="18"/>
        <v>-1</v>
      </c>
      <c r="AX16" s="707"/>
      <c r="AY16" s="707"/>
      <c r="AZ16" s="707"/>
      <c r="BA16" s="707"/>
      <c r="BB16" s="707"/>
      <c r="BC16" s="707"/>
      <c r="BD16" s="707"/>
      <c r="BE16" s="707"/>
      <c r="BF16" s="707"/>
      <c r="BG16" s="707"/>
      <c r="BH16" s="707"/>
      <c r="BI16" s="707"/>
      <c r="BJ16" s="293">
        <v>15</v>
      </c>
      <c r="BK16" s="294">
        <v>0.223</v>
      </c>
      <c r="BL16" s="294">
        <v>0.34799999999999998</v>
      </c>
      <c r="BM16" s="294">
        <v>1.6519999999999999</v>
      </c>
      <c r="BN16" s="295">
        <v>3.472</v>
      </c>
    </row>
    <row r="17" spans="1:66">
      <c r="A17" s="1169">
        <v>16</v>
      </c>
      <c r="B17" s="1378">
        <v>0.1</v>
      </c>
      <c r="C17" s="1169"/>
      <c r="D17" s="1169"/>
      <c r="E17" s="1169"/>
      <c r="F17" s="1169"/>
      <c r="G17" s="1169"/>
      <c r="H17" s="1169"/>
      <c r="I17" s="1169"/>
      <c r="J17" s="1169"/>
      <c r="K17" s="1169"/>
      <c r="L17" s="1169"/>
      <c r="M17" s="1169"/>
      <c r="N17" s="1169"/>
      <c r="O17" s="1169"/>
      <c r="P17" s="1169"/>
      <c r="Q17" s="1169"/>
      <c r="R17" s="1169"/>
      <c r="S17" s="1169"/>
      <c r="T17" s="1169"/>
      <c r="U17" s="1169"/>
      <c r="V17" s="1169"/>
      <c r="W17" s="1169"/>
      <c r="X17" s="1169"/>
      <c r="Y17" s="1169"/>
      <c r="Z17" s="1169"/>
      <c r="AA17" s="36">
        <f t="shared" si="0"/>
        <v>0.1</v>
      </c>
      <c r="AB17" s="288">
        <f t="shared" si="1"/>
        <v>-3.2680075962392557E-2</v>
      </c>
      <c r="AC17" s="288">
        <f t="shared" si="2"/>
        <v>1.2324393802849401E-2</v>
      </c>
      <c r="AD17" s="288">
        <f t="shared" si="3"/>
        <v>5.7328863568091366E-2</v>
      </c>
      <c r="AE17" s="288">
        <f t="shared" si="4"/>
        <v>0.10233333333333333</v>
      </c>
      <c r="AF17" s="288">
        <f t="shared" si="5"/>
        <v>0.1473378030985753</v>
      </c>
      <c r="AG17" s="288">
        <f t="shared" si="6"/>
        <v>0.19234227286381728</v>
      </c>
      <c r="AH17" s="288">
        <f t="shared" si="7"/>
        <v>0.23734674262905922</v>
      </c>
      <c r="AI17" s="36">
        <f t="shared" si="8"/>
        <v>-1</v>
      </c>
      <c r="AJ17" s="36">
        <f t="shared" si="15"/>
        <v>-1</v>
      </c>
      <c r="AK17" s="36">
        <f t="shared" si="16"/>
        <v>-1</v>
      </c>
      <c r="AL17" s="36"/>
      <c r="AM17" s="36">
        <f t="shared" si="9"/>
        <v>2.0000000000000004E-2</v>
      </c>
      <c r="AN17" s="288">
        <v>0</v>
      </c>
      <c r="AO17" s="288">
        <f t="shared" si="10"/>
        <v>0</v>
      </c>
      <c r="AP17" s="288">
        <f t="shared" si="14"/>
        <v>8.2567816091954037E-3</v>
      </c>
      <c r="AQ17" s="36">
        <f t="shared" si="11"/>
        <v>3.3793103448275866E-2</v>
      </c>
      <c r="AR17" s="36">
        <f t="shared" si="11"/>
        <v>5.9329425287356324E-2</v>
      </c>
      <c r="AS17" s="36">
        <f t="shared" si="11"/>
        <v>8.4865747126436797E-2</v>
      </c>
      <c r="AT17" s="288">
        <f t="shared" si="12"/>
        <v>0.11040206896551726</v>
      </c>
      <c r="AU17" s="36">
        <f t="shared" si="13"/>
        <v>-1</v>
      </c>
      <c r="AV17" s="36">
        <f t="shared" si="17"/>
        <v>-1</v>
      </c>
      <c r="AW17" s="36">
        <f t="shared" si="18"/>
        <v>-1</v>
      </c>
      <c r="AX17" s="707"/>
      <c r="AY17" s="707"/>
      <c r="AZ17" s="707"/>
      <c r="BA17" s="707"/>
      <c r="BB17" s="707"/>
      <c r="BC17" s="707"/>
      <c r="BD17" s="707"/>
      <c r="BE17" s="707"/>
      <c r="BF17" s="707"/>
      <c r="BG17" s="707"/>
      <c r="BH17" s="707"/>
      <c r="BI17" s="707"/>
      <c r="BJ17" s="293">
        <v>16</v>
      </c>
      <c r="BK17" s="294">
        <v>0.21199999999999999</v>
      </c>
      <c r="BL17" s="294">
        <v>0.36399999999999999</v>
      </c>
      <c r="BM17" s="294">
        <v>1.6359999999999999</v>
      </c>
      <c r="BN17" s="295">
        <v>3.532</v>
      </c>
    </row>
    <row r="18" spans="1:66">
      <c r="A18" s="1169">
        <v>17</v>
      </c>
      <c r="B18" s="1378">
        <v>0.06</v>
      </c>
      <c r="C18" s="1169"/>
      <c r="D18" s="1169"/>
      <c r="E18" s="1169"/>
      <c r="F18" s="1169"/>
      <c r="G18" s="1169"/>
      <c r="H18" s="1169"/>
      <c r="I18" s="1169"/>
      <c r="J18" s="1169"/>
      <c r="K18" s="1169"/>
      <c r="L18" s="1169"/>
      <c r="M18" s="1169"/>
      <c r="N18" s="1169"/>
      <c r="O18" s="1169"/>
      <c r="P18" s="1169"/>
      <c r="Q18" s="1169"/>
      <c r="R18" s="1169"/>
      <c r="S18" s="1169"/>
      <c r="T18" s="1169"/>
      <c r="U18" s="1169"/>
      <c r="V18" s="1169"/>
      <c r="W18" s="1169"/>
      <c r="X18" s="1169"/>
      <c r="Y18" s="1169"/>
      <c r="Z18" s="1169"/>
      <c r="AA18" s="36">
        <f t="shared" si="0"/>
        <v>0.06</v>
      </c>
      <c r="AB18" s="288">
        <f t="shared" si="1"/>
        <v>-3.2680075962392557E-2</v>
      </c>
      <c r="AC18" s="288">
        <f t="shared" si="2"/>
        <v>1.2324393802849401E-2</v>
      </c>
      <c r="AD18" s="288">
        <f t="shared" si="3"/>
        <v>5.7328863568091366E-2</v>
      </c>
      <c r="AE18" s="288">
        <f t="shared" si="4"/>
        <v>0.10233333333333333</v>
      </c>
      <c r="AF18" s="288">
        <f t="shared" si="5"/>
        <v>0.1473378030985753</v>
      </c>
      <c r="AG18" s="288">
        <f t="shared" si="6"/>
        <v>0.19234227286381728</v>
      </c>
      <c r="AH18" s="288">
        <f t="shared" si="7"/>
        <v>0.23734674262905922</v>
      </c>
      <c r="AI18" s="36">
        <f t="shared" si="8"/>
        <v>-1</v>
      </c>
      <c r="AJ18" s="36">
        <f t="shared" si="15"/>
        <v>-1</v>
      </c>
      <c r="AK18" s="36">
        <f t="shared" si="16"/>
        <v>-1</v>
      </c>
      <c r="AL18" s="36"/>
      <c r="AM18" s="36">
        <f t="shared" si="9"/>
        <v>4.0000000000000008E-2</v>
      </c>
      <c r="AN18" s="288">
        <v>0</v>
      </c>
      <c r="AO18" s="288">
        <f t="shared" si="10"/>
        <v>0</v>
      </c>
      <c r="AP18" s="288">
        <f t="shared" si="14"/>
        <v>8.2567816091954037E-3</v>
      </c>
      <c r="AQ18" s="36">
        <f t="shared" si="11"/>
        <v>3.3793103448275866E-2</v>
      </c>
      <c r="AR18" s="36">
        <f t="shared" si="11"/>
        <v>5.9329425287356324E-2</v>
      </c>
      <c r="AS18" s="36">
        <f t="shared" si="11"/>
        <v>8.4865747126436797E-2</v>
      </c>
      <c r="AT18" s="288">
        <f t="shared" si="12"/>
        <v>0.11040206896551726</v>
      </c>
      <c r="AU18" s="36">
        <f t="shared" si="13"/>
        <v>-1</v>
      </c>
      <c r="AV18" s="36">
        <f t="shared" si="17"/>
        <v>-1</v>
      </c>
      <c r="AW18" s="36">
        <f t="shared" si="18"/>
        <v>-1</v>
      </c>
      <c r="AX18" s="707"/>
      <c r="AY18" s="707"/>
      <c r="AZ18" s="707"/>
      <c r="BA18" s="707"/>
      <c r="BB18" s="707"/>
      <c r="BC18" s="707"/>
      <c r="BD18" s="707"/>
      <c r="BE18" s="707"/>
      <c r="BF18" s="707"/>
      <c r="BG18" s="707"/>
      <c r="BH18" s="707"/>
      <c r="BI18" s="707"/>
      <c r="BJ18" s="293">
        <v>17</v>
      </c>
      <c r="BK18" s="294">
        <v>0.20300000000000001</v>
      </c>
      <c r="BL18" s="294">
        <v>0.379</v>
      </c>
      <c r="BM18" s="294">
        <v>1.621</v>
      </c>
      <c r="BN18" s="295">
        <v>3.5880000000000001</v>
      </c>
    </row>
    <row r="19" spans="1:66">
      <c r="A19" s="1169">
        <v>18</v>
      </c>
      <c r="B19" s="1378">
        <v>0.05</v>
      </c>
      <c r="C19" s="1169"/>
      <c r="D19" s="707"/>
      <c r="E19" s="707"/>
      <c r="F19" s="707"/>
      <c r="G19" s="707"/>
      <c r="H19" s="707"/>
      <c r="I19" s="707"/>
      <c r="J19" s="707"/>
      <c r="K19" s="707"/>
      <c r="L19" s="707"/>
      <c r="M19" s="707"/>
      <c r="N19" s="707"/>
      <c r="O19" s="707"/>
      <c r="P19" s="707"/>
      <c r="Q19" s="707"/>
      <c r="R19" s="707"/>
      <c r="S19" s="707"/>
      <c r="T19" s="707"/>
      <c r="U19" s="707"/>
      <c r="V19" s="707"/>
      <c r="W19" s="707"/>
      <c r="X19" s="707"/>
      <c r="Y19" s="707"/>
      <c r="Z19" s="707"/>
      <c r="AA19" s="36">
        <f t="shared" si="0"/>
        <v>0.05</v>
      </c>
      <c r="AB19" s="288">
        <f t="shared" si="1"/>
        <v>-3.2680075962392557E-2</v>
      </c>
      <c r="AC19" s="288">
        <f t="shared" si="2"/>
        <v>1.2324393802849401E-2</v>
      </c>
      <c r="AD19" s="288">
        <f t="shared" si="3"/>
        <v>5.7328863568091366E-2</v>
      </c>
      <c r="AE19" s="288">
        <f t="shared" si="4"/>
        <v>0.10233333333333333</v>
      </c>
      <c r="AF19" s="288">
        <f t="shared" si="5"/>
        <v>0.1473378030985753</v>
      </c>
      <c r="AG19" s="288">
        <f t="shared" si="6"/>
        <v>0.19234227286381728</v>
      </c>
      <c r="AH19" s="288">
        <f t="shared" si="7"/>
        <v>0.23734674262905922</v>
      </c>
      <c r="AI19" s="36">
        <f t="shared" si="8"/>
        <v>-1</v>
      </c>
      <c r="AJ19" s="36">
        <f t="shared" si="15"/>
        <v>-1</v>
      </c>
      <c r="AK19" s="36">
        <f t="shared" si="16"/>
        <v>-1</v>
      </c>
      <c r="AL19" s="36"/>
      <c r="AM19" s="36">
        <f t="shared" si="9"/>
        <v>9.999999999999995E-3</v>
      </c>
      <c r="AN19" s="288">
        <v>0</v>
      </c>
      <c r="AO19" s="288">
        <f t="shared" si="10"/>
        <v>0</v>
      </c>
      <c r="AP19" s="288">
        <f t="shared" si="14"/>
        <v>8.2567816091954037E-3</v>
      </c>
      <c r="AQ19" s="36">
        <f t="shared" ref="AQ19:AS34" si="19">AQ18</f>
        <v>3.3793103448275866E-2</v>
      </c>
      <c r="AR19" s="36">
        <f t="shared" si="19"/>
        <v>5.9329425287356324E-2</v>
      </c>
      <c r="AS19" s="36">
        <f t="shared" si="19"/>
        <v>8.4865747126436797E-2</v>
      </c>
      <c r="AT19" s="288">
        <f t="shared" si="12"/>
        <v>0.11040206896551726</v>
      </c>
      <c r="AU19" s="36">
        <f t="shared" si="13"/>
        <v>-1</v>
      </c>
      <c r="AV19" s="36">
        <f t="shared" si="17"/>
        <v>-1</v>
      </c>
      <c r="AW19" s="36">
        <f t="shared" si="18"/>
        <v>-1</v>
      </c>
      <c r="AX19" s="707"/>
      <c r="AY19" s="707"/>
      <c r="AZ19" s="707"/>
      <c r="BA19" s="707"/>
      <c r="BB19" s="707"/>
      <c r="BC19" s="707"/>
      <c r="BD19" s="707"/>
      <c r="BE19" s="707"/>
      <c r="BF19" s="707"/>
      <c r="BG19" s="707"/>
      <c r="BH19" s="707"/>
      <c r="BI19" s="707"/>
      <c r="BJ19" s="293">
        <v>18</v>
      </c>
      <c r="BK19" s="294">
        <v>0.19400000000000001</v>
      </c>
      <c r="BL19" s="294">
        <v>0.39200000000000002</v>
      </c>
      <c r="BM19" s="294">
        <v>1.6080000000000001</v>
      </c>
      <c r="BN19" s="295">
        <v>3.64</v>
      </c>
    </row>
    <row r="20" spans="1:66">
      <c r="A20" s="1169">
        <v>19</v>
      </c>
      <c r="B20" s="1378">
        <v>0.12</v>
      </c>
      <c r="C20" s="1169"/>
      <c r="D20" s="707"/>
      <c r="E20" s="707"/>
      <c r="F20" s="707"/>
      <c r="G20" s="707"/>
      <c r="H20" s="707"/>
      <c r="I20" s="707"/>
      <c r="J20" s="707"/>
      <c r="K20" s="707"/>
      <c r="L20" s="707"/>
      <c r="M20" s="707"/>
      <c r="N20" s="707"/>
      <c r="O20" s="707"/>
      <c r="P20" s="707"/>
      <c r="Q20" s="707"/>
      <c r="R20" s="707"/>
      <c r="S20" s="707"/>
      <c r="T20" s="707"/>
      <c r="U20" s="707"/>
      <c r="V20" s="707"/>
      <c r="W20" s="707"/>
      <c r="X20" s="707"/>
      <c r="Y20" s="707"/>
      <c r="Z20" s="707"/>
      <c r="AA20" s="36">
        <f t="shared" si="0"/>
        <v>0.12</v>
      </c>
      <c r="AB20" s="288">
        <f t="shared" si="1"/>
        <v>-3.2680075962392557E-2</v>
      </c>
      <c r="AC20" s="288">
        <f t="shared" si="2"/>
        <v>1.2324393802849401E-2</v>
      </c>
      <c r="AD20" s="288">
        <f t="shared" si="3"/>
        <v>5.7328863568091366E-2</v>
      </c>
      <c r="AE20" s="288">
        <f t="shared" si="4"/>
        <v>0.10233333333333333</v>
      </c>
      <c r="AF20" s="288">
        <f t="shared" si="5"/>
        <v>0.1473378030985753</v>
      </c>
      <c r="AG20" s="288">
        <f t="shared" si="6"/>
        <v>0.19234227286381728</v>
      </c>
      <c r="AH20" s="288">
        <f t="shared" si="7"/>
        <v>0.23734674262905922</v>
      </c>
      <c r="AI20" s="36">
        <f t="shared" si="8"/>
        <v>-1</v>
      </c>
      <c r="AJ20" s="36">
        <f t="shared" si="15"/>
        <v>-1</v>
      </c>
      <c r="AK20" s="36">
        <f t="shared" si="16"/>
        <v>-1</v>
      </c>
      <c r="AL20" s="36"/>
      <c r="AM20" s="36">
        <f t="shared" si="9"/>
        <v>6.9999999999999993E-2</v>
      </c>
      <c r="AN20" s="288">
        <v>0</v>
      </c>
      <c r="AO20" s="288">
        <f t="shared" si="10"/>
        <v>0</v>
      </c>
      <c r="AP20" s="288">
        <f t="shared" si="14"/>
        <v>8.2567816091954037E-3</v>
      </c>
      <c r="AQ20" s="36">
        <f t="shared" si="19"/>
        <v>3.3793103448275866E-2</v>
      </c>
      <c r="AR20" s="36">
        <f t="shared" si="19"/>
        <v>5.9329425287356324E-2</v>
      </c>
      <c r="AS20" s="36">
        <f t="shared" si="19"/>
        <v>8.4865747126436797E-2</v>
      </c>
      <c r="AT20" s="288">
        <f t="shared" si="12"/>
        <v>0.11040206896551726</v>
      </c>
      <c r="AU20" s="36">
        <f t="shared" si="13"/>
        <v>-1</v>
      </c>
      <c r="AV20" s="36">
        <f t="shared" si="17"/>
        <v>-1</v>
      </c>
      <c r="AW20" s="36">
        <f t="shared" si="18"/>
        <v>-1</v>
      </c>
      <c r="AX20" s="707"/>
      <c r="AY20" s="707"/>
      <c r="AZ20" s="707"/>
      <c r="BA20" s="707"/>
      <c r="BB20" s="707"/>
      <c r="BC20" s="707"/>
      <c r="BD20" s="707"/>
      <c r="BE20" s="707"/>
      <c r="BF20" s="707"/>
      <c r="BG20" s="707"/>
      <c r="BH20" s="707"/>
      <c r="BI20" s="707"/>
      <c r="BJ20" s="293">
        <v>19</v>
      </c>
      <c r="BK20" s="294">
        <v>0.187</v>
      </c>
      <c r="BL20" s="294">
        <v>0.40400000000000003</v>
      </c>
      <c r="BM20" s="294">
        <v>1.5960000000000001</v>
      </c>
      <c r="BN20" s="295">
        <v>3.6890000000000001</v>
      </c>
    </row>
    <row r="21" spans="1:66">
      <c r="A21" s="1169">
        <v>20</v>
      </c>
      <c r="B21" s="1378">
        <v>0.13</v>
      </c>
      <c r="C21" s="1169"/>
      <c r="D21" s="707"/>
      <c r="E21" s="707"/>
      <c r="F21" s="707"/>
      <c r="G21" s="707"/>
      <c r="H21" s="707"/>
      <c r="I21" s="707"/>
      <c r="J21" s="707"/>
      <c r="K21" s="707"/>
      <c r="L21" s="707"/>
      <c r="M21" s="707"/>
      <c r="N21" s="707"/>
      <c r="O21" s="707"/>
      <c r="P21" s="707"/>
      <c r="Q21" s="707"/>
      <c r="R21" s="707"/>
      <c r="S21" s="707"/>
      <c r="T21" s="707"/>
      <c r="U21" s="707"/>
      <c r="V21" s="707"/>
      <c r="W21" s="707"/>
      <c r="X21" s="707"/>
      <c r="Y21" s="707"/>
      <c r="Z21" s="707"/>
      <c r="AA21" s="36">
        <f t="shared" si="0"/>
        <v>0.13</v>
      </c>
      <c r="AB21" s="288">
        <f t="shared" si="1"/>
        <v>-3.2680075962392557E-2</v>
      </c>
      <c r="AC21" s="288">
        <f t="shared" si="2"/>
        <v>1.2324393802849401E-2</v>
      </c>
      <c r="AD21" s="288">
        <f t="shared" si="3"/>
        <v>5.7328863568091366E-2</v>
      </c>
      <c r="AE21" s="288">
        <f t="shared" si="4"/>
        <v>0.10233333333333333</v>
      </c>
      <c r="AF21" s="288">
        <f t="shared" si="5"/>
        <v>0.1473378030985753</v>
      </c>
      <c r="AG21" s="288">
        <f t="shared" si="6"/>
        <v>0.19234227286381728</v>
      </c>
      <c r="AH21" s="288">
        <f t="shared" si="7"/>
        <v>0.23734674262905922</v>
      </c>
      <c r="AI21" s="36">
        <f t="shared" si="8"/>
        <v>-1</v>
      </c>
      <c r="AJ21" s="36">
        <f t="shared" si="15"/>
        <v>-1</v>
      </c>
      <c r="AK21" s="36">
        <f t="shared" si="16"/>
        <v>-1</v>
      </c>
      <c r="AL21" s="36"/>
      <c r="AM21" s="36">
        <f t="shared" si="9"/>
        <v>1.0000000000000009E-2</v>
      </c>
      <c r="AN21" s="288">
        <v>0</v>
      </c>
      <c r="AO21" s="288">
        <f t="shared" si="10"/>
        <v>0</v>
      </c>
      <c r="AP21" s="288">
        <f t="shared" si="14"/>
        <v>8.2567816091954037E-3</v>
      </c>
      <c r="AQ21" s="36">
        <f t="shared" si="19"/>
        <v>3.3793103448275866E-2</v>
      </c>
      <c r="AR21" s="36">
        <f t="shared" si="19"/>
        <v>5.9329425287356324E-2</v>
      </c>
      <c r="AS21" s="36">
        <f t="shared" si="19"/>
        <v>8.4865747126436797E-2</v>
      </c>
      <c r="AT21" s="288">
        <f t="shared" si="12"/>
        <v>0.11040206896551726</v>
      </c>
      <c r="AU21" s="36">
        <f t="shared" si="13"/>
        <v>-1</v>
      </c>
      <c r="AV21" s="36">
        <f t="shared" si="17"/>
        <v>-1</v>
      </c>
      <c r="AW21" s="36">
        <f t="shared" si="18"/>
        <v>-1</v>
      </c>
      <c r="AX21" s="707"/>
      <c r="AY21" s="707"/>
      <c r="AZ21" s="707"/>
      <c r="BA21" s="707"/>
      <c r="BB21" s="707"/>
      <c r="BC21" s="707"/>
      <c r="BD21" s="707"/>
      <c r="BE21" s="707"/>
      <c r="BF21" s="707"/>
      <c r="BG21" s="707"/>
      <c r="BH21" s="707"/>
      <c r="BI21" s="707"/>
      <c r="BJ21" s="293">
        <v>20</v>
      </c>
      <c r="BK21" s="294">
        <v>0.18</v>
      </c>
      <c r="BL21" s="294">
        <v>0.41399999999999998</v>
      </c>
      <c r="BM21" s="294">
        <v>1.5860000000000001</v>
      </c>
      <c r="BN21" s="295">
        <v>3.7349999999999999</v>
      </c>
    </row>
    <row r="22" spans="1:66">
      <c r="A22" s="1169">
        <v>21</v>
      </c>
      <c r="B22" s="1378">
        <v>0.08</v>
      </c>
      <c r="C22" s="1169"/>
      <c r="D22" s="707"/>
      <c r="E22" s="707"/>
      <c r="F22" s="707"/>
      <c r="G22" s="707"/>
      <c r="H22" s="707"/>
      <c r="I22" s="707"/>
      <c r="J22" s="707"/>
      <c r="K22" s="707"/>
      <c r="L22" s="707"/>
      <c r="M22" s="707"/>
      <c r="N22" s="707"/>
      <c r="O22" s="707"/>
      <c r="P22" s="707"/>
      <c r="Q22" s="707"/>
      <c r="R22" s="707"/>
      <c r="S22" s="707"/>
      <c r="T22" s="707"/>
      <c r="U22" s="707"/>
      <c r="V22" s="707"/>
      <c r="W22" s="707"/>
      <c r="X22" s="707"/>
      <c r="Y22" s="707"/>
      <c r="Z22" s="707"/>
      <c r="AA22" s="36">
        <f t="shared" si="0"/>
        <v>0.08</v>
      </c>
      <c r="AB22" s="288">
        <f t="shared" si="1"/>
        <v>-3.2680075962392557E-2</v>
      </c>
      <c r="AC22" s="288">
        <f t="shared" si="2"/>
        <v>1.2324393802849401E-2</v>
      </c>
      <c r="AD22" s="288">
        <f t="shared" si="3"/>
        <v>5.7328863568091366E-2</v>
      </c>
      <c r="AE22" s="288">
        <f t="shared" si="4"/>
        <v>0.10233333333333333</v>
      </c>
      <c r="AF22" s="288">
        <f t="shared" si="5"/>
        <v>0.1473378030985753</v>
      </c>
      <c r="AG22" s="288">
        <f t="shared" si="6"/>
        <v>0.19234227286381728</v>
      </c>
      <c r="AH22" s="288">
        <f t="shared" si="7"/>
        <v>0.23734674262905922</v>
      </c>
      <c r="AI22" s="36">
        <f t="shared" si="8"/>
        <v>-1</v>
      </c>
      <c r="AJ22" s="36">
        <f t="shared" si="15"/>
        <v>-1</v>
      </c>
      <c r="AK22" s="36">
        <f t="shared" si="16"/>
        <v>-1</v>
      </c>
      <c r="AL22" s="36"/>
      <c r="AM22" s="36">
        <f t="shared" si="9"/>
        <v>0.05</v>
      </c>
      <c r="AN22" s="288">
        <f t="shared" ref="AN22:AN37" si="20">IF(AM22="", "", AQ22-(3*STDEV(AM:AM)))</f>
        <v>-7.4496328100798551E-2</v>
      </c>
      <c r="AO22" s="288">
        <f t="shared" si="10"/>
        <v>0</v>
      </c>
      <c r="AP22" s="288">
        <f t="shared" si="14"/>
        <v>8.2567816091954037E-3</v>
      </c>
      <c r="AQ22" s="36">
        <f t="shared" si="19"/>
        <v>3.3793103448275866E-2</v>
      </c>
      <c r="AR22" s="36">
        <f t="shared" si="19"/>
        <v>5.9329425287356324E-2</v>
      </c>
      <c r="AS22" s="36">
        <f t="shared" si="19"/>
        <v>8.4865747126436797E-2</v>
      </c>
      <c r="AT22" s="288">
        <f t="shared" si="12"/>
        <v>0.11040206896551726</v>
      </c>
      <c r="AU22" s="36">
        <f t="shared" si="13"/>
        <v>-1</v>
      </c>
      <c r="AV22" s="36">
        <f t="shared" si="17"/>
        <v>-1</v>
      </c>
      <c r="AW22" s="36">
        <f t="shared" si="18"/>
        <v>-1</v>
      </c>
      <c r="AX22" s="707"/>
      <c r="AY22" s="707"/>
      <c r="AZ22" s="707"/>
      <c r="BA22" s="707"/>
      <c r="BB22" s="707"/>
      <c r="BC22" s="707"/>
      <c r="BD22" s="707"/>
      <c r="BE22" s="707"/>
      <c r="BF22" s="707"/>
      <c r="BG22" s="707"/>
      <c r="BH22" s="707"/>
      <c r="BI22" s="707"/>
      <c r="BJ22" s="293">
        <v>21</v>
      </c>
      <c r="BK22" s="294">
        <v>0.17299999999999999</v>
      </c>
      <c r="BL22" s="294">
        <v>0.42499999999999999</v>
      </c>
      <c r="BM22" s="294">
        <v>1.575</v>
      </c>
      <c r="BN22" s="295">
        <v>3.778</v>
      </c>
    </row>
    <row r="23" spans="1:66">
      <c r="A23" s="1169"/>
      <c r="B23" s="1378">
        <v>0.08</v>
      </c>
      <c r="C23" s="1169"/>
      <c r="D23" s="707"/>
      <c r="E23" s="707"/>
      <c r="F23" s="707"/>
      <c r="G23" s="707"/>
      <c r="H23" s="707"/>
      <c r="I23" s="707"/>
      <c r="J23" s="707"/>
      <c r="K23" s="707"/>
      <c r="L23" s="707"/>
      <c r="M23" s="707"/>
      <c r="N23" s="707"/>
      <c r="O23" s="707"/>
      <c r="P23" s="707"/>
      <c r="Q23" s="707"/>
      <c r="R23" s="707"/>
      <c r="S23" s="707"/>
      <c r="T23" s="707"/>
      <c r="U23" s="707"/>
      <c r="V23" s="707"/>
      <c r="W23" s="707"/>
      <c r="X23" s="707"/>
      <c r="Y23" s="707"/>
      <c r="Z23" s="707"/>
      <c r="AA23" s="36">
        <f t="shared" si="0"/>
        <v>0.08</v>
      </c>
      <c r="AB23" s="288">
        <f t="shared" si="1"/>
        <v>-3.2680075962392557E-2</v>
      </c>
      <c r="AC23" s="288">
        <f t="shared" si="2"/>
        <v>1.2324393802849401E-2</v>
      </c>
      <c r="AD23" s="288">
        <f t="shared" si="3"/>
        <v>5.7328863568091366E-2</v>
      </c>
      <c r="AE23" s="288">
        <f t="shared" si="4"/>
        <v>0.10233333333333333</v>
      </c>
      <c r="AF23" s="288">
        <f t="shared" si="5"/>
        <v>0.1473378030985753</v>
      </c>
      <c r="AG23" s="288">
        <f t="shared" si="6"/>
        <v>0.19234227286381728</v>
      </c>
      <c r="AH23" s="288">
        <f t="shared" si="7"/>
        <v>0.23734674262905922</v>
      </c>
      <c r="AI23" s="36">
        <f t="shared" si="8"/>
        <v>-1</v>
      </c>
      <c r="AJ23" s="36">
        <f t="shared" si="15"/>
        <v>-1</v>
      </c>
      <c r="AK23" s="36">
        <f t="shared" si="16"/>
        <v>-1</v>
      </c>
      <c r="AL23" s="36"/>
      <c r="AM23" s="36">
        <f t="shared" si="9"/>
        <v>0</v>
      </c>
      <c r="AN23" s="288">
        <f t="shared" si="20"/>
        <v>-7.4496328100798551E-2</v>
      </c>
      <c r="AO23" s="288">
        <f t="shared" si="10"/>
        <v>0</v>
      </c>
      <c r="AP23" s="288">
        <f t="shared" si="14"/>
        <v>8.2567816091954037E-3</v>
      </c>
      <c r="AQ23" s="36">
        <f t="shared" si="19"/>
        <v>3.3793103448275866E-2</v>
      </c>
      <c r="AR23" s="36">
        <f t="shared" si="19"/>
        <v>5.9329425287356324E-2</v>
      </c>
      <c r="AS23" s="36">
        <f t="shared" si="19"/>
        <v>8.4865747126436797E-2</v>
      </c>
      <c r="AT23" s="288">
        <f t="shared" si="12"/>
        <v>0.11040206896551726</v>
      </c>
      <c r="AU23" s="36">
        <f t="shared" si="13"/>
        <v>-1</v>
      </c>
      <c r="AV23" s="36">
        <f t="shared" si="17"/>
        <v>-1</v>
      </c>
      <c r="AW23" s="36">
        <f t="shared" si="18"/>
        <v>-1</v>
      </c>
      <c r="AX23" s="707"/>
      <c r="AY23" s="707"/>
      <c r="AZ23" s="707"/>
      <c r="BA23" s="707"/>
      <c r="BB23" s="707"/>
      <c r="BC23" s="707"/>
      <c r="BD23" s="707"/>
      <c r="BE23" s="707"/>
      <c r="BF23" s="707"/>
      <c r="BG23" s="707"/>
      <c r="BH23" s="707"/>
      <c r="BI23" s="707"/>
      <c r="BJ23" s="293">
        <v>22</v>
      </c>
      <c r="BK23" s="294">
        <v>0.16700000000000001</v>
      </c>
      <c r="BL23" s="294">
        <v>0.434</v>
      </c>
      <c r="BM23" s="294">
        <v>1.5660000000000001</v>
      </c>
      <c r="BN23" s="295">
        <v>3.819</v>
      </c>
    </row>
    <row r="24" spans="1:66">
      <c r="A24" s="1169"/>
      <c r="B24" s="1378">
        <v>0.13</v>
      </c>
      <c r="C24" s="1169"/>
      <c r="D24" s="707"/>
      <c r="E24" s="707"/>
      <c r="F24" s="707"/>
      <c r="G24" s="707"/>
      <c r="H24" s="707"/>
      <c r="I24" s="707"/>
      <c r="J24" s="707"/>
      <c r="K24" s="707"/>
      <c r="L24" s="707"/>
      <c r="M24" s="707"/>
      <c r="N24" s="707"/>
      <c r="O24" s="707"/>
      <c r="P24" s="707"/>
      <c r="Q24" s="707"/>
      <c r="R24" s="707"/>
      <c r="S24" s="707"/>
      <c r="T24" s="707"/>
      <c r="U24" s="707"/>
      <c r="V24" s="707"/>
      <c r="W24" s="707"/>
      <c r="X24" s="707"/>
      <c r="Y24" s="707"/>
      <c r="Z24" s="707"/>
      <c r="AA24" s="36">
        <f t="shared" si="0"/>
        <v>0.13</v>
      </c>
      <c r="AB24" s="288">
        <f t="shared" si="1"/>
        <v>-3.2680075962392557E-2</v>
      </c>
      <c r="AC24" s="288">
        <f t="shared" si="2"/>
        <v>1.2324393802849401E-2</v>
      </c>
      <c r="AD24" s="288">
        <f t="shared" si="3"/>
        <v>5.7328863568091366E-2</v>
      </c>
      <c r="AE24" s="288">
        <f t="shared" si="4"/>
        <v>0.10233333333333333</v>
      </c>
      <c r="AF24" s="288">
        <f t="shared" si="5"/>
        <v>0.1473378030985753</v>
      </c>
      <c r="AG24" s="288">
        <f t="shared" si="6"/>
        <v>0.19234227286381728</v>
      </c>
      <c r="AH24" s="288">
        <f t="shared" si="7"/>
        <v>0.23734674262905922</v>
      </c>
      <c r="AI24" s="36">
        <f t="shared" si="8"/>
        <v>-1</v>
      </c>
      <c r="AJ24" s="36">
        <f t="shared" si="15"/>
        <v>-1</v>
      </c>
      <c r="AK24" s="36">
        <f t="shared" si="16"/>
        <v>-1</v>
      </c>
      <c r="AL24" s="36"/>
      <c r="AM24" s="36">
        <f t="shared" si="9"/>
        <v>0.05</v>
      </c>
      <c r="AN24" s="288">
        <f t="shared" si="20"/>
        <v>-7.4496328100798551E-2</v>
      </c>
      <c r="AO24" s="288">
        <f t="shared" si="10"/>
        <v>0</v>
      </c>
      <c r="AP24" s="288">
        <f t="shared" si="14"/>
        <v>8.2567816091954037E-3</v>
      </c>
      <c r="AQ24" s="36">
        <f t="shared" si="19"/>
        <v>3.3793103448275866E-2</v>
      </c>
      <c r="AR24" s="36">
        <f t="shared" si="19"/>
        <v>5.9329425287356324E-2</v>
      </c>
      <c r="AS24" s="36">
        <f t="shared" si="19"/>
        <v>8.4865747126436797E-2</v>
      </c>
      <c r="AT24" s="288">
        <f t="shared" si="12"/>
        <v>0.11040206896551726</v>
      </c>
      <c r="AU24" s="36">
        <f t="shared" si="13"/>
        <v>-1</v>
      </c>
      <c r="AV24" s="36">
        <f t="shared" si="17"/>
        <v>-1</v>
      </c>
      <c r="AW24" s="36">
        <f t="shared" si="18"/>
        <v>-1</v>
      </c>
      <c r="AX24" s="707"/>
      <c r="AY24" s="707"/>
      <c r="AZ24" s="707"/>
      <c r="BA24" s="707"/>
      <c r="BB24" s="707"/>
      <c r="BC24" s="707"/>
      <c r="BD24" s="707"/>
      <c r="BE24" s="707"/>
      <c r="BF24" s="707"/>
      <c r="BG24" s="707"/>
      <c r="BH24" s="707"/>
      <c r="BI24" s="707"/>
      <c r="BJ24" s="293">
        <v>23</v>
      </c>
      <c r="BK24" s="294">
        <v>0.16200000000000001</v>
      </c>
      <c r="BL24" s="294">
        <v>0.443</v>
      </c>
      <c r="BM24" s="294">
        <v>1.5569999999999999</v>
      </c>
      <c r="BN24" s="295">
        <v>3.8580000000000001</v>
      </c>
    </row>
    <row r="25" spans="1:66">
      <c r="A25" s="1169"/>
      <c r="B25" s="1378">
        <v>0.18</v>
      </c>
      <c r="C25" s="1169"/>
      <c r="D25" s="707"/>
      <c r="E25" s="707"/>
      <c r="F25" s="707"/>
      <c r="G25" s="707"/>
      <c r="H25" s="707"/>
      <c r="I25" s="707"/>
      <c r="J25" s="707"/>
      <c r="K25" s="707"/>
      <c r="L25" s="707"/>
      <c r="M25" s="707"/>
      <c r="N25" s="707"/>
      <c r="O25" s="707"/>
      <c r="P25" s="707"/>
      <c r="Q25" s="707"/>
      <c r="R25" s="707"/>
      <c r="S25" s="707"/>
      <c r="T25" s="707"/>
      <c r="U25" s="707"/>
      <c r="V25" s="707"/>
      <c r="W25" s="707"/>
      <c r="X25" s="707"/>
      <c r="Y25" s="707"/>
      <c r="Z25" s="707"/>
      <c r="AA25" s="36">
        <f t="shared" si="0"/>
        <v>0.18</v>
      </c>
      <c r="AB25" s="288">
        <f t="shared" si="1"/>
        <v>-3.2680075962392557E-2</v>
      </c>
      <c r="AC25" s="288">
        <f t="shared" si="2"/>
        <v>1.2324393802849401E-2</v>
      </c>
      <c r="AD25" s="288">
        <f t="shared" si="3"/>
        <v>5.7328863568091366E-2</v>
      </c>
      <c r="AE25" s="288">
        <f t="shared" si="4"/>
        <v>0.10233333333333333</v>
      </c>
      <c r="AF25" s="288">
        <f t="shared" si="5"/>
        <v>0.1473378030985753</v>
      </c>
      <c r="AG25" s="288">
        <f t="shared" si="6"/>
        <v>0.19234227286381728</v>
      </c>
      <c r="AH25" s="288">
        <f t="shared" si="7"/>
        <v>0.23734674262905922</v>
      </c>
      <c r="AI25" s="36">
        <f t="shared" si="8"/>
        <v>-1</v>
      </c>
      <c r="AJ25" s="36">
        <f t="shared" si="15"/>
        <v>-1</v>
      </c>
      <c r="AK25" s="36">
        <f t="shared" si="16"/>
        <v>-1</v>
      </c>
      <c r="AL25" s="36"/>
      <c r="AM25" s="36">
        <f t="shared" si="9"/>
        <v>4.9999999999999989E-2</v>
      </c>
      <c r="AN25" s="288">
        <f t="shared" si="20"/>
        <v>-7.4496328100798551E-2</v>
      </c>
      <c r="AO25" s="288">
        <f t="shared" si="10"/>
        <v>0</v>
      </c>
      <c r="AP25" s="288">
        <f t="shared" si="14"/>
        <v>8.2567816091954037E-3</v>
      </c>
      <c r="AQ25" s="36">
        <f t="shared" si="19"/>
        <v>3.3793103448275866E-2</v>
      </c>
      <c r="AR25" s="36">
        <f t="shared" si="19"/>
        <v>5.9329425287356324E-2</v>
      </c>
      <c r="AS25" s="36">
        <f t="shared" si="19"/>
        <v>8.4865747126436797E-2</v>
      </c>
      <c r="AT25" s="288">
        <f t="shared" si="12"/>
        <v>0.11040206896551726</v>
      </c>
      <c r="AU25" s="36">
        <f t="shared" si="13"/>
        <v>-1</v>
      </c>
      <c r="AV25" s="36">
        <f t="shared" si="17"/>
        <v>-1</v>
      </c>
      <c r="AW25" s="36">
        <f t="shared" si="18"/>
        <v>-1</v>
      </c>
      <c r="AX25" s="707"/>
      <c r="AY25" s="707"/>
      <c r="AZ25" s="707"/>
      <c r="BA25" s="707"/>
      <c r="BB25" s="707"/>
      <c r="BC25" s="707"/>
      <c r="BD25" s="707"/>
      <c r="BE25" s="707"/>
      <c r="BF25" s="707"/>
      <c r="BG25" s="707"/>
      <c r="BH25" s="707"/>
      <c r="BI25" s="707"/>
      <c r="BJ25" s="293">
        <v>24</v>
      </c>
      <c r="BK25" s="294">
        <v>0.157</v>
      </c>
      <c r="BL25" s="294">
        <v>0.45200000000000001</v>
      </c>
      <c r="BM25" s="294">
        <v>1.548</v>
      </c>
      <c r="BN25" s="295">
        <v>3.895</v>
      </c>
    </row>
    <row r="26" spans="1:66">
      <c r="A26" s="1169"/>
      <c r="B26" s="1378">
        <v>0.27</v>
      </c>
      <c r="C26" s="1169"/>
      <c r="D26" s="707"/>
      <c r="E26" s="707"/>
      <c r="F26" s="707"/>
      <c r="G26" s="707"/>
      <c r="H26" s="707"/>
      <c r="I26" s="707"/>
      <c r="J26" s="707"/>
      <c r="K26" s="707"/>
      <c r="L26" s="707"/>
      <c r="M26" s="707"/>
      <c r="N26" s="707"/>
      <c r="O26" s="707"/>
      <c r="P26" s="707"/>
      <c r="Q26" s="707"/>
      <c r="R26" s="707"/>
      <c r="S26" s="707"/>
      <c r="T26" s="707"/>
      <c r="U26" s="707"/>
      <c r="V26" s="707"/>
      <c r="W26" s="707"/>
      <c r="X26" s="707"/>
      <c r="Y26" s="707"/>
      <c r="Z26" s="707"/>
      <c r="AA26" s="36">
        <f t="shared" si="0"/>
        <v>0.27</v>
      </c>
      <c r="AB26" s="288">
        <f t="shared" si="1"/>
        <v>-3.2680075962392557E-2</v>
      </c>
      <c r="AC26" s="288">
        <f t="shared" si="2"/>
        <v>1.2324393802849401E-2</v>
      </c>
      <c r="AD26" s="288">
        <f t="shared" si="3"/>
        <v>5.7328863568091366E-2</v>
      </c>
      <c r="AE26" s="288">
        <f t="shared" si="4"/>
        <v>0.10233333333333333</v>
      </c>
      <c r="AF26" s="288">
        <f t="shared" si="5"/>
        <v>0.1473378030985753</v>
      </c>
      <c r="AG26" s="288">
        <f t="shared" si="6"/>
        <v>0.19234227286381728</v>
      </c>
      <c r="AH26" s="288">
        <f t="shared" si="7"/>
        <v>0.23734674262905922</v>
      </c>
      <c r="AI26" s="36">
        <f t="shared" si="8"/>
        <v>0.27</v>
      </c>
      <c r="AJ26" s="36">
        <f t="shared" si="15"/>
        <v>-1</v>
      </c>
      <c r="AK26" s="36">
        <f t="shared" si="16"/>
        <v>-1</v>
      </c>
      <c r="AL26" s="36"/>
      <c r="AM26" s="36">
        <f t="shared" si="9"/>
        <v>9.0000000000000024E-2</v>
      </c>
      <c r="AN26" s="288">
        <f t="shared" si="20"/>
        <v>-7.4496328100798551E-2</v>
      </c>
      <c r="AO26" s="288">
        <f t="shared" si="10"/>
        <v>0</v>
      </c>
      <c r="AP26" s="288">
        <f t="shared" si="14"/>
        <v>8.2567816091954037E-3</v>
      </c>
      <c r="AQ26" s="36">
        <f t="shared" si="19"/>
        <v>3.3793103448275866E-2</v>
      </c>
      <c r="AR26" s="36">
        <f t="shared" si="19"/>
        <v>5.9329425287356324E-2</v>
      </c>
      <c r="AS26" s="36">
        <f t="shared" si="19"/>
        <v>8.4865747126436797E-2</v>
      </c>
      <c r="AT26" s="288">
        <f t="shared" si="12"/>
        <v>0.11040206896551726</v>
      </c>
      <c r="AU26" s="36">
        <f t="shared" si="13"/>
        <v>-1</v>
      </c>
      <c r="AV26" s="36">
        <f t="shared" si="17"/>
        <v>9.0000000000000024E-2</v>
      </c>
      <c r="AW26" s="36">
        <f t="shared" si="18"/>
        <v>-1</v>
      </c>
      <c r="AX26" s="707"/>
      <c r="AY26" s="707"/>
      <c r="AZ26" s="707"/>
      <c r="BA26" s="707"/>
      <c r="BB26" s="707"/>
      <c r="BC26" s="707"/>
      <c r="BD26" s="707"/>
      <c r="BE26" s="707"/>
      <c r="BF26" s="707"/>
      <c r="BG26" s="707"/>
      <c r="BH26" s="707"/>
      <c r="BI26" s="707"/>
      <c r="BJ26" s="296">
        <v>25</v>
      </c>
      <c r="BK26" s="297">
        <v>0.153</v>
      </c>
      <c r="BL26" s="297">
        <v>0.45900000000000002</v>
      </c>
      <c r="BM26" s="297">
        <v>1.5409999999999999</v>
      </c>
      <c r="BN26" s="298">
        <v>3.931</v>
      </c>
    </row>
    <row r="27" spans="1:66">
      <c r="A27" s="1169"/>
      <c r="B27" s="1378">
        <v>0.09</v>
      </c>
      <c r="C27" s="1169"/>
      <c r="D27" s="707"/>
      <c r="E27" s="707"/>
      <c r="F27" s="707"/>
      <c r="G27" s="707"/>
      <c r="H27" s="707"/>
      <c r="I27" s="707"/>
      <c r="J27" s="707"/>
      <c r="K27" s="707"/>
      <c r="L27" s="707"/>
      <c r="M27" s="707"/>
      <c r="N27" s="707"/>
      <c r="O27" s="707"/>
      <c r="P27" s="707"/>
      <c r="Q27" s="707"/>
      <c r="R27" s="707"/>
      <c r="S27" s="707"/>
      <c r="T27" s="707"/>
      <c r="U27" s="707"/>
      <c r="V27" s="707"/>
      <c r="W27" s="707"/>
      <c r="X27" s="707"/>
      <c r="Y27" s="707"/>
      <c r="Z27" s="707"/>
      <c r="AA27" s="36">
        <f t="shared" si="0"/>
        <v>0.09</v>
      </c>
      <c r="AB27" s="288">
        <f t="shared" si="1"/>
        <v>-3.2680075962392557E-2</v>
      </c>
      <c r="AC27" s="288">
        <f t="shared" si="2"/>
        <v>1.2324393802849401E-2</v>
      </c>
      <c r="AD27" s="288">
        <f t="shared" si="3"/>
        <v>5.7328863568091366E-2</v>
      </c>
      <c r="AE27" s="288">
        <f t="shared" si="4"/>
        <v>0.10233333333333333</v>
      </c>
      <c r="AF27" s="288">
        <f t="shared" si="5"/>
        <v>0.1473378030985753</v>
      </c>
      <c r="AG27" s="288">
        <f t="shared" si="6"/>
        <v>0.19234227286381728</v>
      </c>
      <c r="AH27" s="288">
        <f t="shared" si="7"/>
        <v>0.23734674262905922</v>
      </c>
      <c r="AI27" s="36">
        <f t="shared" si="8"/>
        <v>-1</v>
      </c>
      <c r="AJ27" s="36">
        <f t="shared" si="15"/>
        <v>-1</v>
      </c>
      <c r="AK27" s="36">
        <f t="shared" si="16"/>
        <v>-1</v>
      </c>
      <c r="AL27" s="36"/>
      <c r="AM27" s="36">
        <f t="shared" si="9"/>
        <v>0.18000000000000002</v>
      </c>
      <c r="AN27" s="288">
        <f t="shared" si="20"/>
        <v>-7.4496328100798551E-2</v>
      </c>
      <c r="AO27" s="288">
        <f t="shared" si="10"/>
        <v>0</v>
      </c>
      <c r="AP27" s="288">
        <f t="shared" si="14"/>
        <v>8.2567816091954037E-3</v>
      </c>
      <c r="AQ27" s="36">
        <f t="shared" si="19"/>
        <v>3.3793103448275866E-2</v>
      </c>
      <c r="AR27" s="36">
        <f t="shared" si="19"/>
        <v>5.9329425287356324E-2</v>
      </c>
      <c r="AS27" s="36">
        <f t="shared" si="19"/>
        <v>8.4865747126436797E-2</v>
      </c>
      <c r="AT27" s="288">
        <f t="shared" si="12"/>
        <v>0.11040206896551726</v>
      </c>
      <c r="AU27" s="36">
        <f t="shared" si="13"/>
        <v>0.18000000000000002</v>
      </c>
      <c r="AV27" s="36">
        <f t="shared" si="17"/>
        <v>0.18000000000000002</v>
      </c>
      <c r="AW27" s="36">
        <f t="shared" si="18"/>
        <v>-1</v>
      </c>
      <c r="AX27" s="707"/>
      <c r="AY27" s="707"/>
      <c r="AZ27" s="707"/>
      <c r="BA27" s="707"/>
      <c r="BB27" s="707"/>
      <c r="BC27" s="707"/>
      <c r="BD27" s="707"/>
      <c r="BE27" s="707"/>
      <c r="BF27" s="707"/>
      <c r="BG27" s="707"/>
      <c r="BH27" s="707"/>
      <c r="BI27" s="707"/>
      <c r="BJ27" s="707"/>
      <c r="BK27" s="707"/>
      <c r="BL27" s="707"/>
      <c r="BM27" s="707"/>
      <c r="BN27" s="707"/>
    </row>
    <row r="28" spans="1:66">
      <c r="A28" s="1169"/>
      <c r="B28" s="1378">
        <v>7.0000000000000007E-2</v>
      </c>
      <c r="C28" s="1169"/>
      <c r="D28" s="707"/>
      <c r="E28" s="707"/>
      <c r="F28" s="707"/>
      <c r="G28" s="707"/>
      <c r="H28" s="707"/>
      <c r="I28" s="707"/>
      <c r="J28" s="707"/>
      <c r="K28" s="707"/>
      <c r="L28" s="707"/>
      <c r="M28" s="707"/>
      <c r="N28" s="707"/>
      <c r="O28" s="707"/>
      <c r="P28" s="707"/>
      <c r="Q28" s="707"/>
      <c r="R28" s="707"/>
      <c r="S28" s="707"/>
      <c r="T28" s="707"/>
      <c r="U28" s="707"/>
      <c r="V28" s="707"/>
      <c r="W28" s="707"/>
      <c r="X28" s="707"/>
      <c r="Y28" s="707"/>
      <c r="Z28" s="707"/>
      <c r="AA28" s="36">
        <f t="shared" si="0"/>
        <v>7.0000000000000007E-2</v>
      </c>
      <c r="AB28" s="288">
        <f t="shared" si="1"/>
        <v>-3.2680075962392557E-2</v>
      </c>
      <c r="AC28" s="288">
        <f t="shared" si="2"/>
        <v>1.2324393802849401E-2</v>
      </c>
      <c r="AD28" s="288">
        <f t="shared" si="3"/>
        <v>5.7328863568091366E-2</v>
      </c>
      <c r="AE28" s="288">
        <f t="shared" si="4"/>
        <v>0.10233333333333333</v>
      </c>
      <c r="AF28" s="288">
        <f t="shared" si="5"/>
        <v>0.1473378030985753</v>
      </c>
      <c r="AG28" s="288">
        <f t="shared" si="6"/>
        <v>0.19234227286381728</v>
      </c>
      <c r="AH28" s="288">
        <f t="shared" si="7"/>
        <v>0.23734674262905922</v>
      </c>
      <c r="AI28" s="36">
        <f t="shared" si="8"/>
        <v>-1</v>
      </c>
      <c r="AJ28" s="36">
        <f t="shared" si="15"/>
        <v>-1</v>
      </c>
      <c r="AK28" s="36">
        <f t="shared" si="16"/>
        <v>-1</v>
      </c>
      <c r="AL28" s="36"/>
      <c r="AM28" s="36">
        <f t="shared" si="9"/>
        <v>1.999999999999999E-2</v>
      </c>
      <c r="AN28" s="288">
        <f t="shared" si="20"/>
        <v>-7.4496328100798551E-2</v>
      </c>
      <c r="AO28" s="288">
        <f t="shared" si="10"/>
        <v>0</v>
      </c>
      <c r="AP28" s="288">
        <f t="shared" si="14"/>
        <v>8.2567816091954037E-3</v>
      </c>
      <c r="AQ28" s="36">
        <f t="shared" si="19"/>
        <v>3.3793103448275866E-2</v>
      </c>
      <c r="AR28" s="36">
        <f t="shared" si="19"/>
        <v>5.9329425287356324E-2</v>
      </c>
      <c r="AS28" s="36">
        <f t="shared" si="19"/>
        <v>8.4865747126436797E-2</v>
      </c>
      <c r="AT28" s="288">
        <f t="shared" si="12"/>
        <v>0.11040206896551726</v>
      </c>
      <c r="AU28" s="36">
        <f t="shared" si="13"/>
        <v>-1</v>
      </c>
      <c r="AV28" s="36">
        <f t="shared" si="17"/>
        <v>-1</v>
      </c>
      <c r="AW28" s="36">
        <f t="shared" si="18"/>
        <v>-1</v>
      </c>
      <c r="AX28" s="707"/>
      <c r="AY28" s="707"/>
      <c r="AZ28" s="707"/>
      <c r="BA28" s="707"/>
      <c r="BB28" s="707"/>
      <c r="BC28" s="707"/>
      <c r="BD28" s="707"/>
      <c r="BE28" s="707"/>
      <c r="BF28" s="707"/>
      <c r="BG28" s="707"/>
      <c r="BH28" s="707"/>
      <c r="BI28" s="707"/>
      <c r="BJ28" s="707"/>
      <c r="BK28" s="707"/>
      <c r="BL28" s="707"/>
      <c r="BM28" s="707"/>
      <c r="BN28" s="707"/>
    </row>
    <row r="29" spans="1:66">
      <c r="A29" s="1169"/>
      <c r="B29" s="1378">
        <v>0.12</v>
      </c>
      <c r="C29" s="1169"/>
      <c r="D29" s="707"/>
      <c r="E29" s="707"/>
      <c r="F29" s="707"/>
      <c r="G29" s="707"/>
      <c r="H29" s="707"/>
      <c r="I29" s="707"/>
      <c r="J29" s="707"/>
      <c r="K29" s="707"/>
      <c r="L29" s="707"/>
      <c r="M29" s="707"/>
      <c r="N29" s="707"/>
      <c r="O29" s="707"/>
      <c r="P29" s="707"/>
      <c r="Q29" s="707"/>
      <c r="R29" s="707"/>
      <c r="S29" s="707"/>
      <c r="T29" s="707"/>
      <c r="U29" s="707"/>
      <c r="V29" s="707"/>
      <c r="W29" s="707"/>
      <c r="X29" s="707"/>
      <c r="Y29" s="707"/>
      <c r="Z29" s="707"/>
      <c r="AA29" s="36">
        <f t="shared" si="0"/>
        <v>0.12</v>
      </c>
      <c r="AB29" s="288">
        <f t="shared" si="1"/>
        <v>-3.2680075962392557E-2</v>
      </c>
      <c r="AC29" s="288">
        <f t="shared" si="2"/>
        <v>1.2324393802849401E-2</v>
      </c>
      <c r="AD29" s="288">
        <f t="shared" si="3"/>
        <v>5.7328863568091366E-2</v>
      </c>
      <c r="AE29" s="288">
        <f t="shared" si="4"/>
        <v>0.10233333333333333</v>
      </c>
      <c r="AF29" s="288">
        <f t="shared" si="5"/>
        <v>0.1473378030985753</v>
      </c>
      <c r="AG29" s="288">
        <f t="shared" si="6"/>
        <v>0.19234227286381728</v>
      </c>
      <c r="AH29" s="288">
        <f t="shared" si="7"/>
        <v>0.23734674262905922</v>
      </c>
      <c r="AI29" s="36">
        <f t="shared" si="8"/>
        <v>-1</v>
      </c>
      <c r="AJ29" s="36">
        <f t="shared" si="15"/>
        <v>-1</v>
      </c>
      <c r="AK29" s="36">
        <f t="shared" si="16"/>
        <v>-1</v>
      </c>
      <c r="AL29" s="36"/>
      <c r="AM29" s="36">
        <f t="shared" si="9"/>
        <v>4.9999999999999989E-2</v>
      </c>
      <c r="AN29" s="288">
        <f t="shared" si="20"/>
        <v>-7.4496328100798551E-2</v>
      </c>
      <c r="AO29" s="288">
        <f t="shared" si="10"/>
        <v>0</v>
      </c>
      <c r="AP29" s="288">
        <f t="shared" si="14"/>
        <v>8.2567816091954037E-3</v>
      </c>
      <c r="AQ29" s="36">
        <f t="shared" si="19"/>
        <v>3.3793103448275866E-2</v>
      </c>
      <c r="AR29" s="36">
        <f t="shared" si="19"/>
        <v>5.9329425287356324E-2</v>
      </c>
      <c r="AS29" s="36">
        <f t="shared" si="19"/>
        <v>8.4865747126436797E-2</v>
      </c>
      <c r="AT29" s="288">
        <f t="shared" si="12"/>
        <v>0.11040206896551726</v>
      </c>
      <c r="AU29" s="36">
        <f t="shared" si="13"/>
        <v>-1</v>
      </c>
      <c r="AV29" s="36">
        <f t="shared" si="17"/>
        <v>-1</v>
      </c>
      <c r="AW29" s="36">
        <f t="shared" si="18"/>
        <v>-1</v>
      </c>
      <c r="AX29" s="707"/>
      <c r="AY29" s="707"/>
      <c r="AZ29" s="707"/>
      <c r="BA29" s="707"/>
      <c r="BB29" s="707"/>
      <c r="BC29" s="707"/>
      <c r="BD29" s="707"/>
      <c r="BE29" s="707"/>
      <c r="BF29" s="707"/>
      <c r="BG29" s="707"/>
      <c r="BH29" s="707"/>
      <c r="BI29" s="707"/>
      <c r="BJ29" s="707"/>
      <c r="BK29" s="707"/>
      <c r="BL29" s="707"/>
      <c r="BM29" s="707"/>
      <c r="BN29" s="707"/>
    </row>
    <row r="30" spans="1:66">
      <c r="A30" s="1169"/>
      <c r="B30" s="1378">
        <v>0.09</v>
      </c>
      <c r="C30" s="1169"/>
      <c r="D30" s="707"/>
      <c r="E30" s="707"/>
      <c r="F30" s="707"/>
      <c r="G30" s="707"/>
      <c r="H30" s="707"/>
      <c r="I30" s="707"/>
      <c r="J30" s="707"/>
      <c r="K30" s="707"/>
      <c r="L30" s="707"/>
      <c r="M30" s="707"/>
      <c r="N30" s="707"/>
      <c r="O30" s="707"/>
      <c r="P30" s="707"/>
      <c r="Q30" s="707"/>
      <c r="R30" s="707"/>
      <c r="S30" s="707"/>
      <c r="T30" s="707"/>
      <c r="U30" s="707"/>
      <c r="V30" s="707"/>
      <c r="W30" s="707"/>
      <c r="X30" s="707"/>
      <c r="Y30" s="707"/>
      <c r="Z30" s="707"/>
      <c r="AA30" s="36">
        <f t="shared" si="0"/>
        <v>0.09</v>
      </c>
      <c r="AB30" s="288">
        <f t="shared" si="1"/>
        <v>-3.2680075962392557E-2</v>
      </c>
      <c r="AC30" s="288">
        <f t="shared" si="2"/>
        <v>1.2324393802849401E-2</v>
      </c>
      <c r="AD30" s="288">
        <f t="shared" si="3"/>
        <v>5.7328863568091366E-2</v>
      </c>
      <c r="AE30" s="288">
        <f t="shared" si="4"/>
        <v>0.10233333333333333</v>
      </c>
      <c r="AF30" s="288">
        <f t="shared" si="5"/>
        <v>0.1473378030985753</v>
      </c>
      <c r="AG30" s="288">
        <f t="shared" si="6"/>
        <v>0.19234227286381728</v>
      </c>
      <c r="AH30" s="288">
        <f t="shared" si="7"/>
        <v>0.23734674262905922</v>
      </c>
      <c r="AI30" s="36">
        <f t="shared" si="8"/>
        <v>-1</v>
      </c>
      <c r="AJ30" s="36">
        <f t="shared" si="15"/>
        <v>-1</v>
      </c>
      <c r="AK30" s="36">
        <f t="shared" si="16"/>
        <v>-1</v>
      </c>
      <c r="AL30" s="36"/>
      <c r="AM30" s="36">
        <f t="shared" si="9"/>
        <v>0.03</v>
      </c>
      <c r="AN30" s="288">
        <f t="shared" si="20"/>
        <v>-7.4496328100798551E-2</v>
      </c>
      <c r="AO30" s="288">
        <f t="shared" si="10"/>
        <v>0</v>
      </c>
      <c r="AP30" s="288">
        <f t="shared" si="14"/>
        <v>8.2567816091954037E-3</v>
      </c>
      <c r="AQ30" s="36">
        <f t="shared" si="19"/>
        <v>3.3793103448275866E-2</v>
      </c>
      <c r="AR30" s="36">
        <f t="shared" si="19"/>
        <v>5.9329425287356324E-2</v>
      </c>
      <c r="AS30" s="36">
        <f t="shared" si="19"/>
        <v>8.4865747126436797E-2</v>
      </c>
      <c r="AT30" s="288">
        <f t="shared" si="12"/>
        <v>0.11040206896551726</v>
      </c>
      <c r="AU30" s="36">
        <f t="shared" si="13"/>
        <v>-1</v>
      </c>
      <c r="AV30" s="36">
        <f t="shared" si="17"/>
        <v>-1</v>
      </c>
      <c r="AW30" s="36">
        <f t="shared" si="18"/>
        <v>-1</v>
      </c>
      <c r="AX30" s="707"/>
      <c r="AY30" s="707"/>
      <c r="AZ30" s="707"/>
      <c r="BA30" s="707"/>
      <c r="BB30" s="707"/>
      <c r="BC30" s="707"/>
      <c r="BD30" s="707"/>
      <c r="BE30" s="707"/>
      <c r="BF30" s="707"/>
      <c r="BG30" s="707"/>
      <c r="BH30" s="707"/>
      <c r="BI30" s="707"/>
      <c r="BJ30" s="707"/>
      <c r="BK30" s="707"/>
      <c r="BL30" s="707"/>
      <c r="BM30" s="707"/>
      <c r="BN30" s="707"/>
    </row>
    <row r="31" spans="1:66">
      <c r="A31" s="1169"/>
      <c r="B31" s="1378">
        <v>0.09</v>
      </c>
      <c r="C31" s="1169"/>
      <c r="D31" s="707"/>
      <c r="E31" s="707"/>
      <c r="F31" s="707"/>
      <c r="G31" s="707"/>
      <c r="H31" s="707"/>
      <c r="I31" s="707"/>
      <c r="J31" s="707"/>
      <c r="K31" s="707"/>
      <c r="L31" s="707"/>
      <c r="M31" s="707"/>
      <c r="N31" s="707"/>
      <c r="O31" s="707"/>
      <c r="P31" s="707"/>
      <c r="Q31" s="707"/>
      <c r="R31" s="707"/>
      <c r="S31" s="707"/>
      <c r="T31" s="707"/>
      <c r="U31" s="707"/>
      <c r="V31" s="707"/>
      <c r="W31" s="707"/>
      <c r="X31" s="707"/>
      <c r="Y31" s="707"/>
      <c r="Z31" s="707"/>
      <c r="AA31" s="36">
        <f t="shared" si="0"/>
        <v>0.09</v>
      </c>
      <c r="AB31" s="288">
        <f t="shared" si="1"/>
        <v>-3.2680075962392557E-2</v>
      </c>
      <c r="AC31" s="288">
        <f t="shared" si="2"/>
        <v>1.2324393802849401E-2</v>
      </c>
      <c r="AD31" s="288">
        <f t="shared" si="3"/>
        <v>5.7328863568091366E-2</v>
      </c>
      <c r="AE31" s="288">
        <f t="shared" si="4"/>
        <v>0.10233333333333333</v>
      </c>
      <c r="AF31" s="288">
        <f t="shared" si="5"/>
        <v>0.1473378030985753</v>
      </c>
      <c r="AG31" s="288">
        <f t="shared" si="6"/>
        <v>0.19234227286381728</v>
      </c>
      <c r="AH31" s="288">
        <f t="shared" si="7"/>
        <v>0.23734674262905922</v>
      </c>
      <c r="AI31" s="36">
        <f t="shared" si="8"/>
        <v>-1</v>
      </c>
      <c r="AJ31" s="36">
        <f t="shared" si="15"/>
        <v>-1</v>
      </c>
      <c r="AK31" s="36">
        <f t="shared" si="16"/>
        <v>-1</v>
      </c>
      <c r="AL31" s="36"/>
      <c r="AM31" s="36">
        <f t="shared" si="9"/>
        <v>0</v>
      </c>
      <c r="AN31" s="288">
        <f t="shared" si="20"/>
        <v>-7.4496328100798551E-2</v>
      </c>
      <c r="AO31" s="288">
        <f t="shared" si="10"/>
        <v>0</v>
      </c>
      <c r="AP31" s="288">
        <f t="shared" si="14"/>
        <v>8.2567816091954037E-3</v>
      </c>
      <c r="AQ31" s="36">
        <f t="shared" si="19"/>
        <v>3.3793103448275866E-2</v>
      </c>
      <c r="AR31" s="36">
        <f t="shared" si="19"/>
        <v>5.9329425287356324E-2</v>
      </c>
      <c r="AS31" s="36">
        <f t="shared" si="19"/>
        <v>8.4865747126436797E-2</v>
      </c>
      <c r="AT31" s="288">
        <f t="shared" si="12"/>
        <v>0.11040206896551726</v>
      </c>
      <c r="AU31" s="36">
        <f t="shared" si="13"/>
        <v>-1</v>
      </c>
      <c r="AV31" s="36">
        <f t="shared" si="17"/>
        <v>-1</v>
      </c>
      <c r="AW31" s="36">
        <f t="shared" si="18"/>
        <v>-1</v>
      </c>
      <c r="AX31" s="707"/>
      <c r="AY31" s="707"/>
      <c r="AZ31" s="707"/>
      <c r="BA31" s="707"/>
      <c r="BB31" s="707"/>
      <c r="BC31" s="707"/>
      <c r="BD31" s="707"/>
      <c r="BE31" s="707"/>
      <c r="BF31" s="707"/>
      <c r="BG31" s="707"/>
      <c r="BH31" s="707"/>
      <c r="BI31" s="707"/>
      <c r="BJ31" s="707"/>
      <c r="BK31" s="707"/>
      <c r="BL31" s="707"/>
      <c r="BM31" s="707"/>
      <c r="BN31" s="707"/>
    </row>
    <row r="32" spans="1:66">
      <c r="A32" s="1169"/>
      <c r="B32" s="1377"/>
      <c r="C32" s="1169"/>
      <c r="D32" s="707"/>
      <c r="E32" s="707"/>
      <c r="F32" s="707"/>
      <c r="G32" s="707"/>
      <c r="H32" s="707"/>
      <c r="I32" s="707"/>
      <c r="J32" s="707"/>
      <c r="K32" s="707"/>
      <c r="L32" s="707"/>
      <c r="M32" s="707"/>
      <c r="N32" s="707"/>
      <c r="O32" s="707"/>
      <c r="P32" s="707"/>
      <c r="Q32" s="707"/>
      <c r="R32" s="707"/>
      <c r="S32" s="707"/>
      <c r="T32" s="707"/>
      <c r="U32" s="707"/>
      <c r="V32" s="707"/>
      <c r="W32" s="707"/>
      <c r="X32" s="707"/>
      <c r="Y32" s="707"/>
      <c r="Z32" s="707"/>
      <c r="AA32" s="36" t="str">
        <f t="shared" si="0"/>
        <v/>
      </c>
      <c r="AB32" s="288" t="str">
        <f t="shared" si="1"/>
        <v/>
      </c>
      <c r="AC32" s="288" t="str">
        <f t="shared" si="2"/>
        <v/>
      </c>
      <c r="AD32" s="288" t="str">
        <f t="shared" si="3"/>
        <v/>
      </c>
      <c r="AE32" s="288" t="str">
        <f t="shared" si="4"/>
        <v/>
      </c>
      <c r="AF32" s="288" t="str">
        <f t="shared" si="5"/>
        <v/>
      </c>
      <c r="AG32" s="288" t="str">
        <f t="shared" si="6"/>
        <v/>
      </c>
      <c r="AH32" s="288" t="str">
        <f t="shared" si="7"/>
        <v/>
      </c>
      <c r="AI32" s="36">
        <f t="shared" si="8"/>
        <v>-1</v>
      </c>
      <c r="AJ32" s="36">
        <f t="shared" si="15"/>
        <v>-1</v>
      </c>
      <c r="AK32" s="36">
        <f t="shared" si="16"/>
        <v>-1</v>
      </c>
      <c r="AL32" s="36"/>
      <c r="AM32" s="36" t="str">
        <f t="shared" si="9"/>
        <v/>
      </c>
      <c r="AN32" s="288" t="str">
        <f t="shared" si="20"/>
        <v/>
      </c>
      <c r="AO32" s="288" t="str">
        <f t="shared" si="10"/>
        <v/>
      </c>
      <c r="AP32" s="288" t="str">
        <f t="shared" si="14"/>
        <v/>
      </c>
      <c r="AQ32" s="36">
        <f t="shared" si="19"/>
        <v>3.3793103448275866E-2</v>
      </c>
      <c r="AR32" s="36">
        <f t="shared" si="19"/>
        <v>5.9329425287356324E-2</v>
      </c>
      <c r="AS32" s="36">
        <f t="shared" si="19"/>
        <v>8.4865747126436797E-2</v>
      </c>
      <c r="AT32" s="288">
        <f t="shared" si="12"/>
        <v>0.11040206896551726</v>
      </c>
      <c r="AU32" s="36" t="str">
        <f t="shared" si="13"/>
        <v/>
      </c>
      <c r="AV32" s="36" t="str">
        <f t="shared" si="17"/>
        <v/>
      </c>
      <c r="AW32" s="36" t="str">
        <f>IF(IF(AM30&lt;AP30,1,0)+IF(AM32&lt;AP32,1,0)+IF(AM33&lt;AP33,1,0)+IF(AM34&lt;AP34,1,0)+IF(AM31&lt;AP31,1,0)+IF(AM30&gt;AR30,1,0)+IF(AM31&gt;AR31,1,0)+IF(AM32&gt;AR32,1,0)+IF(AM33&gt;AR33,1,0)+IF(AM34&gt;AR34,1,0)&gt;=4,AM32,-1)</f>
        <v/>
      </c>
      <c r="AX32" s="707"/>
      <c r="AY32" s="707"/>
      <c r="AZ32" s="707"/>
      <c r="BA32" s="707"/>
      <c r="BB32" s="707"/>
      <c r="BC32" s="707"/>
      <c r="BD32" s="707"/>
      <c r="BE32" s="707"/>
      <c r="BF32" s="707"/>
      <c r="BG32" s="707"/>
      <c r="BH32" s="707"/>
      <c r="BI32" s="707"/>
      <c r="BJ32" s="707"/>
      <c r="BK32" s="707"/>
      <c r="BL32" s="707"/>
      <c r="BM32" s="707"/>
      <c r="BN32" s="707"/>
    </row>
    <row r="33" spans="2:49">
      <c r="B33" s="1377"/>
      <c r="C33" s="1169"/>
      <c r="D33" s="707"/>
      <c r="E33" s="707"/>
      <c r="F33" s="707"/>
      <c r="G33" s="707"/>
      <c r="H33" s="707"/>
      <c r="I33" s="707"/>
      <c r="J33" s="707"/>
      <c r="K33" s="707"/>
      <c r="L33" s="707"/>
      <c r="M33" s="707"/>
      <c r="N33" s="707"/>
      <c r="O33" s="707"/>
      <c r="P33" s="707"/>
      <c r="Q33" s="707"/>
      <c r="R33" s="707"/>
      <c r="S33" s="707"/>
      <c r="T33" s="707"/>
      <c r="U33" s="707"/>
      <c r="V33" s="707"/>
      <c r="W33" s="707"/>
      <c r="X33" s="707"/>
      <c r="Y33" s="707"/>
      <c r="Z33" s="707"/>
      <c r="AA33" s="36" t="str">
        <f t="shared" si="0"/>
        <v/>
      </c>
      <c r="AB33" s="288" t="str">
        <f t="shared" si="1"/>
        <v/>
      </c>
      <c r="AC33" s="288" t="str">
        <f t="shared" si="2"/>
        <v/>
      </c>
      <c r="AD33" s="288" t="str">
        <f t="shared" si="3"/>
        <v/>
      </c>
      <c r="AE33" s="288" t="str">
        <f t="shared" si="4"/>
        <v/>
      </c>
      <c r="AF33" s="288" t="str">
        <f t="shared" si="5"/>
        <v/>
      </c>
      <c r="AG33" s="288" t="str">
        <f t="shared" si="6"/>
        <v/>
      </c>
      <c r="AH33" s="288" t="str">
        <f t="shared" si="7"/>
        <v/>
      </c>
      <c r="AI33" s="36">
        <f t="shared" si="8"/>
        <v>-1</v>
      </c>
      <c r="AJ33" s="36">
        <f t="shared" si="15"/>
        <v>-1</v>
      </c>
      <c r="AK33" s="36">
        <f t="shared" si="16"/>
        <v>-1</v>
      </c>
      <c r="AL33" s="36"/>
      <c r="AM33" s="36" t="str">
        <f t="shared" si="9"/>
        <v/>
      </c>
      <c r="AN33" s="288" t="str">
        <f t="shared" si="20"/>
        <v/>
      </c>
      <c r="AO33" s="288" t="str">
        <f t="shared" si="10"/>
        <v/>
      </c>
      <c r="AP33" s="288" t="str">
        <f t="shared" si="14"/>
        <v/>
      </c>
      <c r="AQ33" s="36">
        <f t="shared" si="19"/>
        <v>3.3793103448275866E-2</v>
      </c>
      <c r="AR33" s="36">
        <f t="shared" si="19"/>
        <v>5.9329425287356324E-2</v>
      </c>
      <c r="AS33" s="36">
        <f t="shared" si="19"/>
        <v>8.4865747126436797E-2</v>
      </c>
      <c r="AT33" s="288">
        <f t="shared" si="12"/>
        <v>0.11040206896551726</v>
      </c>
      <c r="AU33" s="36" t="str">
        <f t="shared" si="13"/>
        <v/>
      </c>
      <c r="AV33" s="36" t="str">
        <f t="shared" si="17"/>
        <v/>
      </c>
      <c r="AW33" s="36" t="str">
        <f t="shared" ref="AW33:AW37" si="21">IF(IF(AM31&lt;AP31,1,0)+IF(AM33&lt;AP33,1,0)+IF(AM34&lt;AP34,1,0)+IF(AM35&lt;AP35,1,0)+IF(AM32&lt;AP32,1,0)+IF(AM31&gt;AR31,1,0)+IF(AM32&gt;AR32,1,0)+IF(AM33&gt;AR33,1,0)+IF(AM34&gt;AR34,1,0)+IF(AM35&gt;AR35,1,0)&gt;4,AM33,-1)</f>
        <v/>
      </c>
    </row>
    <row r="34" spans="2:49">
      <c r="B34" s="1377"/>
      <c r="C34" s="1169"/>
      <c r="D34" s="707"/>
      <c r="E34" s="707"/>
      <c r="F34" s="707"/>
      <c r="G34" s="707"/>
      <c r="H34" s="707"/>
      <c r="I34" s="707"/>
      <c r="J34" s="707"/>
      <c r="K34" s="707"/>
      <c r="L34" s="707"/>
      <c r="M34" s="707"/>
      <c r="N34" s="707"/>
      <c r="O34" s="707"/>
      <c r="P34" s="707"/>
      <c r="Q34" s="707"/>
      <c r="R34" s="707"/>
      <c r="S34" s="707"/>
      <c r="T34" s="707"/>
      <c r="U34" s="707"/>
      <c r="V34" s="707"/>
      <c r="W34" s="707"/>
      <c r="X34" s="707"/>
      <c r="Y34" s="707"/>
      <c r="Z34" s="707"/>
      <c r="AA34" s="36" t="str">
        <f t="shared" si="0"/>
        <v/>
      </c>
      <c r="AB34" s="288" t="str">
        <f t="shared" si="1"/>
        <v/>
      </c>
      <c r="AC34" s="288" t="str">
        <f t="shared" si="2"/>
        <v/>
      </c>
      <c r="AD34" s="288" t="str">
        <f t="shared" si="3"/>
        <v/>
      </c>
      <c r="AE34" s="288" t="str">
        <f t="shared" si="4"/>
        <v/>
      </c>
      <c r="AF34" s="288" t="str">
        <f t="shared" si="5"/>
        <v/>
      </c>
      <c r="AG34" s="288" t="str">
        <f t="shared" si="6"/>
        <v/>
      </c>
      <c r="AH34" s="288" t="str">
        <f t="shared" si="7"/>
        <v/>
      </c>
      <c r="AI34" s="36">
        <f t="shared" si="8"/>
        <v>-1</v>
      </c>
      <c r="AJ34" s="36">
        <f t="shared" si="15"/>
        <v>-1</v>
      </c>
      <c r="AK34" s="36">
        <f t="shared" si="16"/>
        <v>-1</v>
      </c>
      <c r="AL34" s="36"/>
      <c r="AM34" s="36" t="str">
        <f t="shared" si="9"/>
        <v/>
      </c>
      <c r="AN34" s="288" t="str">
        <f t="shared" si="20"/>
        <v/>
      </c>
      <c r="AO34" s="288" t="str">
        <f t="shared" si="10"/>
        <v/>
      </c>
      <c r="AP34" s="288" t="str">
        <f t="shared" si="14"/>
        <v/>
      </c>
      <c r="AQ34" s="36">
        <f t="shared" si="19"/>
        <v>3.3793103448275866E-2</v>
      </c>
      <c r="AR34" s="36">
        <f t="shared" si="19"/>
        <v>5.9329425287356324E-2</v>
      </c>
      <c r="AS34" s="36">
        <f t="shared" si="19"/>
        <v>8.4865747126436797E-2</v>
      </c>
      <c r="AT34" s="288">
        <f t="shared" si="12"/>
        <v>0.11040206896551726</v>
      </c>
      <c r="AU34" s="36" t="str">
        <f t="shared" si="13"/>
        <v/>
      </c>
      <c r="AV34" s="36" t="str">
        <f t="shared" si="17"/>
        <v/>
      </c>
      <c r="AW34" s="36" t="str">
        <f t="shared" si="21"/>
        <v/>
      </c>
    </row>
    <row r="35" spans="2:49">
      <c r="B35" s="1377"/>
      <c r="C35" s="1169"/>
      <c r="D35" s="707"/>
      <c r="E35" s="707"/>
      <c r="F35" s="707"/>
      <c r="G35" s="707"/>
      <c r="H35" s="707"/>
      <c r="I35" s="707"/>
      <c r="J35" s="707"/>
      <c r="K35" s="707"/>
      <c r="L35" s="707"/>
      <c r="M35" s="707"/>
      <c r="N35" s="707"/>
      <c r="O35" s="707"/>
      <c r="P35" s="707"/>
      <c r="Q35" s="707"/>
      <c r="R35" s="707"/>
      <c r="S35" s="707"/>
      <c r="T35" s="707"/>
      <c r="U35" s="707"/>
      <c r="V35" s="707"/>
      <c r="W35" s="707"/>
      <c r="X35" s="707"/>
      <c r="Y35" s="707"/>
      <c r="Z35" s="707"/>
      <c r="AA35" s="36" t="str">
        <f t="shared" si="0"/>
        <v/>
      </c>
      <c r="AB35" s="288" t="str">
        <f t="shared" si="1"/>
        <v/>
      </c>
      <c r="AC35" s="288" t="str">
        <f t="shared" si="2"/>
        <v/>
      </c>
      <c r="AD35" s="288" t="str">
        <f t="shared" si="3"/>
        <v/>
      </c>
      <c r="AE35" s="288" t="str">
        <f t="shared" si="4"/>
        <v/>
      </c>
      <c r="AF35" s="288" t="str">
        <f t="shared" si="5"/>
        <v/>
      </c>
      <c r="AG35" s="288" t="str">
        <f t="shared" si="6"/>
        <v/>
      </c>
      <c r="AH35" s="288" t="str">
        <f t="shared" si="7"/>
        <v/>
      </c>
      <c r="AI35" s="36">
        <f t="shared" si="8"/>
        <v>-1</v>
      </c>
      <c r="AJ35" s="36">
        <f t="shared" si="15"/>
        <v>-1</v>
      </c>
      <c r="AK35" s="36">
        <f t="shared" si="16"/>
        <v>-1</v>
      </c>
      <c r="AL35" s="36"/>
      <c r="AM35" s="36" t="str">
        <f t="shared" si="9"/>
        <v/>
      </c>
      <c r="AN35" s="288" t="str">
        <f t="shared" si="20"/>
        <v/>
      </c>
      <c r="AO35" s="288" t="str">
        <f t="shared" si="10"/>
        <v/>
      </c>
      <c r="AP35" s="288" t="str">
        <f t="shared" si="14"/>
        <v/>
      </c>
      <c r="AQ35" s="36">
        <f t="shared" ref="AQ35:AS37" si="22">AQ34</f>
        <v>3.3793103448275866E-2</v>
      </c>
      <c r="AR35" s="36">
        <f t="shared" si="22"/>
        <v>5.9329425287356324E-2</v>
      </c>
      <c r="AS35" s="36">
        <f t="shared" si="22"/>
        <v>8.4865747126436797E-2</v>
      </c>
      <c r="AT35" s="288">
        <f t="shared" si="12"/>
        <v>0.11040206896551726</v>
      </c>
      <c r="AU35" s="36" t="str">
        <f t="shared" si="13"/>
        <v/>
      </c>
      <c r="AV35" s="36" t="str">
        <f t="shared" si="17"/>
        <v/>
      </c>
      <c r="AW35" s="36" t="str">
        <f t="shared" si="21"/>
        <v/>
      </c>
    </row>
    <row r="36" spans="2:49">
      <c r="B36" s="1377"/>
      <c r="C36" s="1169"/>
      <c r="D36" s="707"/>
      <c r="E36" s="707"/>
      <c r="F36" s="707"/>
      <c r="G36" s="707"/>
      <c r="H36" s="707"/>
      <c r="I36" s="707"/>
      <c r="J36" s="707"/>
      <c r="K36" s="707"/>
      <c r="L36" s="707"/>
      <c r="M36" s="707"/>
      <c r="N36" s="707"/>
      <c r="O36" s="707"/>
      <c r="P36" s="707"/>
      <c r="Q36" s="707"/>
      <c r="R36" s="707"/>
      <c r="S36" s="707"/>
      <c r="T36" s="707"/>
      <c r="U36" s="707"/>
      <c r="V36" s="707"/>
      <c r="W36" s="707"/>
      <c r="X36" s="707"/>
      <c r="Y36" s="707"/>
      <c r="Z36" s="707"/>
      <c r="AA36" s="36" t="str">
        <f t="shared" si="0"/>
        <v/>
      </c>
      <c r="AB36" s="288" t="str">
        <f t="shared" si="1"/>
        <v/>
      </c>
      <c r="AC36" s="288" t="str">
        <f t="shared" si="2"/>
        <v/>
      </c>
      <c r="AD36" s="288" t="str">
        <f t="shared" si="3"/>
        <v/>
      </c>
      <c r="AE36" s="288" t="str">
        <f t="shared" si="4"/>
        <v/>
      </c>
      <c r="AF36" s="288" t="str">
        <f t="shared" si="5"/>
        <v/>
      </c>
      <c r="AG36" s="288" t="str">
        <f t="shared" si="6"/>
        <v/>
      </c>
      <c r="AH36" s="288" t="str">
        <f t="shared" si="7"/>
        <v/>
      </c>
      <c r="AI36" s="36">
        <f t="shared" si="8"/>
        <v>-1</v>
      </c>
      <c r="AJ36" s="36">
        <f t="shared" si="15"/>
        <v>-1</v>
      </c>
      <c r="AK36" s="36">
        <f t="shared" si="16"/>
        <v>-1</v>
      </c>
      <c r="AL36" s="36"/>
      <c r="AM36" s="36" t="str">
        <f t="shared" si="9"/>
        <v/>
      </c>
      <c r="AN36" s="288" t="str">
        <f t="shared" si="20"/>
        <v/>
      </c>
      <c r="AO36" s="288" t="str">
        <f t="shared" si="10"/>
        <v/>
      </c>
      <c r="AP36" s="288" t="str">
        <f t="shared" si="14"/>
        <v/>
      </c>
      <c r="AQ36" s="36">
        <f t="shared" si="22"/>
        <v>3.3793103448275866E-2</v>
      </c>
      <c r="AR36" s="36">
        <f t="shared" si="22"/>
        <v>5.9329425287356324E-2</v>
      </c>
      <c r="AS36" s="36">
        <f t="shared" si="22"/>
        <v>8.4865747126436797E-2</v>
      </c>
      <c r="AT36" s="288">
        <f t="shared" si="12"/>
        <v>0.11040206896551726</v>
      </c>
      <c r="AU36" s="36" t="str">
        <f t="shared" si="13"/>
        <v/>
      </c>
      <c r="AV36" s="36" t="str">
        <f t="shared" si="17"/>
        <v/>
      </c>
      <c r="AW36" s="36" t="str">
        <f t="shared" si="21"/>
        <v/>
      </c>
    </row>
    <row r="37" spans="2:49">
      <c r="B37" s="1377"/>
      <c r="C37" s="1169"/>
      <c r="D37" s="707"/>
      <c r="E37" s="707"/>
      <c r="F37" s="707"/>
      <c r="G37" s="707"/>
      <c r="H37" s="707"/>
      <c r="I37" s="707"/>
      <c r="J37" s="707"/>
      <c r="K37" s="707"/>
      <c r="L37" s="707"/>
      <c r="M37" s="707"/>
      <c r="N37" s="707"/>
      <c r="O37" s="707"/>
      <c r="P37" s="707"/>
      <c r="Q37" s="707"/>
      <c r="R37" s="707"/>
      <c r="S37" s="707"/>
      <c r="T37" s="707"/>
      <c r="U37" s="707"/>
      <c r="V37" s="707"/>
      <c r="W37" s="707"/>
      <c r="X37" s="707"/>
      <c r="Y37" s="707"/>
      <c r="Z37" s="707"/>
      <c r="AA37" s="36" t="str">
        <f t="shared" si="0"/>
        <v/>
      </c>
      <c r="AB37" s="288" t="str">
        <f t="shared" si="1"/>
        <v/>
      </c>
      <c r="AC37" s="288" t="str">
        <f t="shared" si="2"/>
        <v/>
      </c>
      <c r="AD37" s="288" t="str">
        <f t="shared" si="3"/>
        <v/>
      </c>
      <c r="AE37" s="288" t="str">
        <f t="shared" si="4"/>
        <v/>
      </c>
      <c r="AF37" s="288" t="str">
        <f t="shared" si="5"/>
        <v/>
      </c>
      <c r="AG37" s="288" t="str">
        <f t="shared" si="6"/>
        <v/>
      </c>
      <c r="AH37" s="288" t="str">
        <f t="shared" si="7"/>
        <v/>
      </c>
      <c r="AI37" s="36">
        <f t="shared" si="8"/>
        <v>-1</v>
      </c>
      <c r="AJ37" s="36">
        <f t="shared" si="15"/>
        <v>-1</v>
      </c>
      <c r="AK37" s="36">
        <f t="shared" si="16"/>
        <v>-1</v>
      </c>
      <c r="AL37" s="36"/>
      <c r="AM37" s="36" t="str">
        <f t="shared" si="9"/>
        <v/>
      </c>
      <c r="AN37" s="288" t="str">
        <f t="shared" si="20"/>
        <v/>
      </c>
      <c r="AO37" s="288" t="str">
        <f t="shared" si="10"/>
        <v/>
      </c>
      <c r="AP37" s="288" t="str">
        <f t="shared" si="14"/>
        <v/>
      </c>
      <c r="AQ37" s="36">
        <f t="shared" si="22"/>
        <v>3.3793103448275866E-2</v>
      </c>
      <c r="AR37" s="36">
        <f t="shared" si="22"/>
        <v>5.9329425287356324E-2</v>
      </c>
      <c r="AS37" s="36">
        <f t="shared" si="22"/>
        <v>8.4865747126436797E-2</v>
      </c>
      <c r="AT37" s="288">
        <f t="shared" si="12"/>
        <v>0.11040206896551726</v>
      </c>
      <c r="AU37" s="36" t="str">
        <f t="shared" si="13"/>
        <v/>
      </c>
      <c r="AV37" s="36" t="str">
        <f t="shared" si="17"/>
        <v/>
      </c>
      <c r="AW37" s="36" t="str">
        <f t="shared" si="21"/>
        <v/>
      </c>
    </row>
    <row r="38" spans="2:49">
      <c r="B38" s="1377"/>
      <c r="C38" s="1169"/>
      <c r="D38" s="707"/>
      <c r="E38" s="707"/>
      <c r="F38" s="707"/>
      <c r="G38" s="707"/>
      <c r="H38" s="707"/>
      <c r="I38" s="707"/>
      <c r="J38" s="707"/>
      <c r="K38" s="707"/>
      <c r="L38" s="707"/>
      <c r="M38" s="707"/>
      <c r="N38" s="707"/>
      <c r="O38" s="707"/>
      <c r="P38" s="707"/>
      <c r="Q38" s="707"/>
      <c r="R38" s="707"/>
      <c r="S38" s="707"/>
      <c r="T38" s="707"/>
      <c r="U38" s="707"/>
      <c r="V38" s="707"/>
      <c r="W38" s="707"/>
      <c r="X38" s="707"/>
      <c r="Y38" s="707"/>
      <c r="Z38" s="707"/>
      <c r="AA38" s="36" t="str">
        <f t="shared" si="0"/>
        <v/>
      </c>
      <c r="AB38" s="288" t="str">
        <f t="shared" ref="AB38:AB51" si="23">IF(AA38="", "", AE38-(3*STDEV(AA:AA)))</f>
        <v/>
      </c>
      <c r="AC38" s="288" t="str">
        <f t="shared" ref="AC38:AC51" si="24">IF(AA38="", "",AE38-(2*STDEV(AA:AA)))</f>
        <v/>
      </c>
      <c r="AD38" s="288" t="str">
        <f t="shared" ref="AD38:AD51" si="25">IF(AA38="", "", AE38-STDEV(AA:AA))</f>
        <v/>
      </c>
      <c r="AE38" s="288" t="str">
        <f t="shared" ref="AE38:AE51" si="26">IF(AA38="", "", AVERAGE(AA:AA))</f>
        <v/>
      </c>
      <c r="AF38" s="288" t="str">
        <f t="shared" ref="AF38:AF51" si="27">IF(AC38="", "", AE38+STDEV(AA:AA))</f>
        <v/>
      </c>
      <c r="AG38" s="288" t="str">
        <f t="shared" ref="AG38:AG51" si="28">IF(AE38="", "",AE38+(2*STDEV(AA:AA)))</f>
        <v/>
      </c>
      <c r="AH38" s="288" t="str">
        <f t="shared" ref="AH38:AH51" si="29">IF(AG38="", "", AE38+(3*STDEV(AA:AA)))</f>
        <v/>
      </c>
      <c r="AI38" s="36">
        <f t="shared" ref="AI38:AI51" si="30">IF(OR(AA38&gt;AH38,AA38&lt;AB38),AA38,-1)</f>
        <v>-1</v>
      </c>
      <c r="AJ38" s="36">
        <f t="shared" ref="AJ38:AJ51" si="31">IF(IF(AA37&gt;AG37,1,0)+IF(AA38&gt;AG38,1,0)+IF(AA39&gt;AG39,1,0)+IF(AA37&lt;AC37,1,0)+IF(AA38&lt;AC38,1,0)+IF(AA39&lt;AC39,1,0)&gt;=2,AA38,-1)</f>
        <v>-1</v>
      </c>
      <c r="AK38" s="36">
        <f t="shared" ref="AK38:AK51" si="32">IF(IF(AA36&lt;AD36,1,0)+IF(AA38&lt;AD38,1,0)+IF(AA39&lt;AD39,1,0)+IF(AA40&lt;AD40,1,0)+IF(AA37&lt;AD37,1,0)+IF(AA36&gt;AF36,1,0)+IF(AA37&gt;AF37,1,0)+IF(AA38&gt;AF38,1,0)+IF(AA39&gt;AF39,1,0)+IF(AA40&gt;AF40,1,0)&gt;4,AA38,-1)</f>
        <v>-1</v>
      </c>
      <c r="AL38" s="36"/>
      <c r="AM38" s="36" t="str">
        <f t="shared" si="9"/>
        <v/>
      </c>
      <c r="AN38" s="288" t="str">
        <f t="shared" ref="AN38:AN51" si="33">IF(AM38="", "", AQ38-(3*STDEV(AM:AM)))</f>
        <v/>
      </c>
      <c r="AO38" s="288" t="str">
        <f t="shared" ref="AO38:AO51" si="34">IF(AM38="", "", IF($AQ38-(2*(($AT38-$AQ38)/3))&lt;0, 0, $AQ38-(2*(($AT38-$AQ38)/3))))</f>
        <v/>
      </c>
      <c r="AP38" s="288" t="str">
        <f t="shared" ref="AP38:AP51" si="35">IF(AM38="", "", IF($AQ38-(($AT38-$AQ38)/3)&lt;0, 0, $AQ37-(($AT37-$AQ37)/3)))</f>
        <v/>
      </c>
      <c r="AQ38" s="36">
        <f t="shared" ref="AQ38:AS38" si="36">AQ37</f>
        <v>3.3793103448275866E-2</v>
      </c>
      <c r="AR38" s="36">
        <f t="shared" si="36"/>
        <v>5.9329425287356324E-2</v>
      </c>
      <c r="AS38" s="36">
        <f t="shared" si="36"/>
        <v>8.4865747126436797E-2</v>
      </c>
      <c r="AT38" s="288">
        <f t="shared" ref="AT38:AT51" si="37">$BM$3*AQ38</f>
        <v>0.11040206896551726</v>
      </c>
      <c r="AU38" s="36" t="str">
        <f t="shared" ref="AU38:AU51" si="38">IF(OR(AM38&gt;AT38,AM38&lt;AN38),AM38,-1)</f>
        <v/>
      </c>
      <c r="AV38" s="36" t="str">
        <f t="shared" ref="AV38:AV51" si="39">IF(IF(AM37&gt;AS37,1,0)+IF(AM38&gt;AS38,1,0)+IF(AM39&gt;AS39,1,0)+IF(AM37&lt;AO37,1,0)+IF(AM38&lt;AO38,1,0)+IF(AM39&lt;AO39,1,0)&gt;=2,AM38,-1)</f>
        <v/>
      </c>
      <c r="AW38" s="36" t="str">
        <f t="shared" ref="AW38:AW51" si="40">IF(IF(AM36&lt;AP36,1,0)+IF(AM38&lt;AP38,1,0)+IF(AM39&lt;AP39,1,0)+IF(AM40&lt;AP40,1,0)+IF(AM37&lt;AP37,1,0)+IF(AM36&gt;AR36,1,0)+IF(AM37&gt;AR37,1,0)+IF(AM38&gt;AR38,1,0)+IF(AM39&gt;AR39,1,0)+IF(AM40&gt;AR40,1,0)&gt;4,AM38,-1)</f>
        <v/>
      </c>
    </row>
    <row r="39" spans="2:49">
      <c r="B39" s="1377"/>
      <c r="C39" s="707"/>
      <c r="D39" s="707"/>
      <c r="E39" s="707"/>
      <c r="F39" s="707"/>
      <c r="G39" s="707"/>
      <c r="H39" s="707"/>
      <c r="I39" s="707"/>
      <c r="J39" s="707"/>
      <c r="K39" s="707"/>
      <c r="L39" s="707"/>
      <c r="M39" s="707"/>
      <c r="N39" s="707"/>
      <c r="O39" s="707"/>
      <c r="P39" s="707"/>
      <c r="Q39" s="707"/>
      <c r="R39" s="707"/>
      <c r="S39" s="707"/>
      <c r="T39" s="707"/>
      <c r="U39" s="707"/>
      <c r="V39" s="707"/>
      <c r="W39" s="707"/>
      <c r="X39" s="707"/>
      <c r="Y39" s="707"/>
      <c r="Z39" s="707"/>
      <c r="AA39" s="36" t="str">
        <f t="shared" si="0"/>
        <v/>
      </c>
      <c r="AB39" s="288" t="str">
        <f t="shared" si="23"/>
        <v/>
      </c>
      <c r="AC39" s="288" t="str">
        <f t="shared" si="24"/>
        <v/>
      </c>
      <c r="AD39" s="288" t="str">
        <f t="shared" si="25"/>
        <v/>
      </c>
      <c r="AE39" s="288" t="str">
        <f t="shared" si="26"/>
        <v/>
      </c>
      <c r="AF39" s="288" t="str">
        <f t="shared" si="27"/>
        <v/>
      </c>
      <c r="AG39" s="288" t="str">
        <f t="shared" si="28"/>
        <v/>
      </c>
      <c r="AH39" s="288" t="str">
        <f t="shared" si="29"/>
        <v/>
      </c>
      <c r="AI39" s="36">
        <f t="shared" si="30"/>
        <v>-1</v>
      </c>
      <c r="AJ39" s="36">
        <f t="shared" si="31"/>
        <v>-1</v>
      </c>
      <c r="AK39" s="36">
        <f t="shared" si="32"/>
        <v>-1</v>
      </c>
      <c r="AL39" s="36"/>
      <c r="AM39" s="36" t="str">
        <f t="shared" si="9"/>
        <v/>
      </c>
      <c r="AN39" s="288" t="str">
        <f t="shared" si="33"/>
        <v/>
      </c>
      <c r="AO39" s="288" t="str">
        <f t="shared" si="34"/>
        <v/>
      </c>
      <c r="AP39" s="288" t="str">
        <f t="shared" si="35"/>
        <v/>
      </c>
      <c r="AQ39" s="36">
        <f t="shared" ref="AQ39:AS39" si="41">AQ38</f>
        <v>3.3793103448275866E-2</v>
      </c>
      <c r="AR39" s="36">
        <f t="shared" si="41"/>
        <v>5.9329425287356324E-2</v>
      </c>
      <c r="AS39" s="36">
        <f t="shared" si="41"/>
        <v>8.4865747126436797E-2</v>
      </c>
      <c r="AT39" s="288">
        <f t="shared" si="37"/>
        <v>0.11040206896551726</v>
      </c>
      <c r="AU39" s="36" t="str">
        <f t="shared" si="38"/>
        <v/>
      </c>
      <c r="AV39" s="36" t="str">
        <f t="shared" si="39"/>
        <v/>
      </c>
      <c r="AW39" s="36" t="str">
        <f t="shared" si="40"/>
        <v/>
      </c>
    </row>
    <row r="40" spans="2:49">
      <c r="B40" s="1377"/>
      <c r="C40" s="707"/>
      <c r="D40" s="707"/>
      <c r="E40" s="707"/>
      <c r="F40" s="707"/>
      <c r="G40" s="707"/>
      <c r="H40" s="707"/>
      <c r="I40" s="707"/>
      <c r="J40" s="707"/>
      <c r="K40" s="707"/>
      <c r="L40" s="707"/>
      <c r="M40" s="707"/>
      <c r="N40" s="707"/>
      <c r="O40" s="707"/>
      <c r="P40" s="707"/>
      <c r="Q40" s="707"/>
      <c r="R40" s="707"/>
      <c r="S40" s="707"/>
      <c r="T40" s="707"/>
      <c r="U40" s="707"/>
      <c r="V40" s="707"/>
      <c r="W40" s="707"/>
      <c r="X40" s="707"/>
      <c r="Y40" s="707"/>
      <c r="Z40" s="707"/>
      <c r="AA40" s="36" t="str">
        <f t="shared" si="0"/>
        <v/>
      </c>
      <c r="AB40" s="288" t="str">
        <f t="shared" si="23"/>
        <v/>
      </c>
      <c r="AC40" s="288" t="str">
        <f t="shared" si="24"/>
        <v/>
      </c>
      <c r="AD40" s="288" t="str">
        <f t="shared" si="25"/>
        <v/>
      </c>
      <c r="AE40" s="288" t="str">
        <f t="shared" si="26"/>
        <v/>
      </c>
      <c r="AF40" s="288" t="str">
        <f t="shared" si="27"/>
        <v/>
      </c>
      <c r="AG40" s="288" t="str">
        <f t="shared" si="28"/>
        <v/>
      </c>
      <c r="AH40" s="288" t="str">
        <f t="shared" si="29"/>
        <v/>
      </c>
      <c r="AI40" s="36">
        <f t="shared" si="30"/>
        <v>-1</v>
      </c>
      <c r="AJ40" s="36">
        <f t="shared" si="31"/>
        <v>-1</v>
      </c>
      <c r="AK40" s="36">
        <f t="shared" si="32"/>
        <v>-1</v>
      </c>
      <c r="AL40" s="36"/>
      <c r="AM40" s="36" t="str">
        <f t="shared" si="9"/>
        <v/>
      </c>
      <c r="AN40" s="288" t="str">
        <f t="shared" si="33"/>
        <v/>
      </c>
      <c r="AO40" s="288" t="str">
        <f t="shared" si="34"/>
        <v/>
      </c>
      <c r="AP40" s="288" t="str">
        <f t="shared" si="35"/>
        <v/>
      </c>
      <c r="AQ40" s="36">
        <f t="shared" ref="AQ40:AS40" si="42">AQ39</f>
        <v>3.3793103448275866E-2</v>
      </c>
      <c r="AR40" s="36">
        <f t="shared" si="42"/>
        <v>5.9329425287356324E-2</v>
      </c>
      <c r="AS40" s="36">
        <f t="shared" si="42"/>
        <v>8.4865747126436797E-2</v>
      </c>
      <c r="AT40" s="288">
        <f t="shared" si="37"/>
        <v>0.11040206896551726</v>
      </c>
      <c r="AU40" s="36" t="str">
        <f t="shared" si="38"/>
        <v/>
      </c>
      <c r="AV40" s="36" t="str">
        <f t="shared" si="39"/>
        <v/>
      </c>
      <c r="AW40" s="36" t="str">
        <f t="shared" si="40"/>
        <v/>
      </c>
    </row>
    <row r="41" spans="2:49">
      <c r="B41" s="1377"/>
      <c r="C41" s="707"/>
      <c r="D41" s="707"/>
      <c r="E41" s="707"/>
      <c r="F41" s="707"/>
      <c r="G41" s="707"/>
      <c r="H41" s="707"/>
      <c r="I41" s="707"/>
      <c r="J41" s="707"/>
      <c r="K41" s="707"/>
      <c r="L41" s="707"/>
      <c r="M41" s="707"/>
      <c r="N41" s="707"/>
      <c r="O41" s="707"/>
      <c r="P41" s="707"/>
      <c r="Q41" s="707"/>
      <c r="R41" s="707"/>
      <c r="S41" s="707"/>
      <c r="T41" s="707"/>
      <c r="U41" s="707"/>
      <c r="V41" s="707"/>
      <c r="W41" s="707"/>
      <c r="X41" s="707"/>
      <c r="Y41" s="707"/>
      <c r="Z41" s="707"/>
      <c r="AA41" s="36" t="str">
        <f t="shared" si="0"/>
        <v/>
      </c>
      <c r="AB41" s="288" t="str">
        <f t="shared" si="23"/>
        <v/>
      </c>
      <c r="AC41" s="288" t="str">
        <f t="shared" si="24"/>
        <v/>
      </c>
      <c r="AD41" s="288" t="str">
        <f t="shared" si="25"/>
        <v/>
      </c>
      <c r="AE41" s="288" t="str">
        <f t="shared" si="26"/>
        <v/>
      </c>
      <c r="AF41" s="288" t="str">
        <f t="shared" si="27"/>
        <v/>
      </c>
      <c r="AG41" s="288" t="str">
        <f t="shared" si="28"/>
        <v/>
      </c>
      <c r="AH41" s="288" t="str">
        <f t="shared" si="29"/>
        <v/>
      </c>
      <c r="AI41" s="36">
        <f t="shared" si="30"/>
        <v>-1</v>
      </c>
      <c r="AJ41" s="36">
        <f t="shared" si="31"/>
        <v>-1</v>
      </c>
      <c r="AK41" s="36">
        <f t="shared" si="32"/>
        <v>-1</v>
      </c>
      <c r="AL41" s="36"/>
      <c r="AM41" s="36" t="str">
        <f t="shared" si="9"/>
        <v/>
      </c>
      <c r="AN41" s="288" t="str">
        <f t="shared" si="33"/>
        <v/>
      </c>
      <c r="AO41" s="288" t="str">
        <f t="shared" si="34"/>
        <v/>
      </c>
      <c r="AP41" s="288" t="str">
        <f t="shared" si="35"/>
        <v/>
      </c>
      <c r="AQ41" s="36">
        <f t="shared" ref="AQ41:AS41" si="43">AQ40</f>
        <v>3.3793103448275866E-2</v>
      </c>
      <c r="AR41" s="36">
        <f t="shared" si="43"/>
        <v>5.9329425287356324E-2</v>
      </c>
      <c r="AS41" s="36">
        <f t="shared" si="43"/>
        <v>8.4865747126436797E-2</v>
      </c>
      <c r="AT41" s="288">
        <f t="shared" si="37"/>
        <v>0.11040206896551726</v>
      </c>
      <c r="AU41" s="36" t="str">
        <f t="shared" si="38"/>
        <v/>
      </c>
      <c r="AV41" s="36" t="str">
        <f t="shared" si="39"/>
        <v/>
      </c>
      <c r="AW41" s="36" t="str">
        <f t="shared" si="40"/>
        <v/>
      </c>
    </row>
    <row r="42" spans="2:49">
      <c r="B42" s="1377"/>
      <c r="C42" s="707"/>
      <c r="D42" s="707"/>
      <c r="E42" s="707"/>
      <c r="F42" s="707"/>
      <c r="G42" s="707"/>
      <c r="H42" s="707"/>
      <c r="I42" s="707"/>
      <c r="J42" s="707"/>
      <c r="K42" s="707"/>
      <c r="L42" s="707"/>
      <c r="M42" s="707"/>
      <c r="N42" s="707"/>
      <c r="O42" s="707"/>
      <c r="P42" s="707"/>
      <c r="Q42" s="707"/>
      <c r="R42" s="707"/>
      <c r="S42" s="707"/>
      <c r="T42" s="707"/>
      <c r="U42" s="707"/>
      <c r="V42" s="707"/>
      <c r="W42" s="707"/>
      <c r="X42" s="707"/>
      <c r="Y42" s="707"/>
      <c r="Z42" s="707"/>
      <c r="AA42" s="36" t="str">
        <f t="shared" si="0"/>
        <v/>
      </c>
      <c r="AB42" s="288" t="str">
        <f t="shared" si="23"/>
        <v/>
      </c>
      <c r="AC42" s="288" t="str">
        <f t="shared" si="24"/>
        <v/>
      </c>
      <c r="AD42" s="288" t="str">
        <f t="shared" si="25"/>
        <v/>
      </c>
      <c r="AE42" s="288" t="str">
        <f t="shared" si="26"/>
        <v/>
      </c>
      <c r="AF42" s="288" t="str">
        <f t="shared" si="27"/>
        <v/>
      </c>
      <c r="AG42" s="288" t="str">
        <f t="shared" si="28"/>
        <v/>
      </c>
      <c r="AH42" s="288" t="str">
        <f t="shared" si="29"/>
        <v/>
      </c>
      <c r="AI42" s="36">
        <f t="shared" si="30"/>
        <v>-1</v>
      </c>
      <c r="AJ42" s="36">
        <f t="shared" si="31"/>
        <v>-1</v>
      </c>
      <c r="AK42" s="36">
        <f t="shared" si="32"/>
        <v>-1</v>
      </c>
      <c r="AL42" s="36"/>
      <c r="AM42" s="36" t="str">
        <f t="shared" si="9"/>
        <v/>
      </c>
      <c r="AN42" s="288" t="str">
        <f t="shared" si="33"/>
        <v/>
      </c>
      <c r="AO42" s="288" t="str">
        <f t="shared" si="34"/>
        <v/>
      </c>
      <c r="AP42" s="288" t="str">
        <f t="shared" si="35"/>
        <v/>
      </c>
      <c r="AQ42" s="36">
        <f t="shared" ref="AQ42:AS42" si="44">AQ41</f>
        <v>3.3793103448275866E-2</v>
      </c>
      <c r="AR42" s="36">
        <f t="shared" si="44"/>
        <v>5.9329425287356324E-2</v>
      </c>
      <c r="AS42" s="36">
        <f t="shared" si="44"/>
        <v>8.4865747126436797E-2</v>
      </c>
      <c r="AT42" s="288">
        <f t="shared" si="37"/>
        <v>0.11040206896551726</v>
      </c>
      <c r="AU42" s="36" t="str">
        <f t="shared" si="38"/>
        <v/>
      </c>
      <c r="AV42" s="36" t="str">
        <f t="shared" si="39"/>
        <v/>
      </c>
      <c r="AW42" s="36" t="str">
        <f t="shared" si="40"/>
        <v/>
      </c>
    </row>
    <row r="43" spans="2:49">
      <c r="B43" s="1377"/>
      <c r="C43" s="707"/>
      <c r="D43" s="707"/>
      <c r="E43" s="707"/>
      <c r="F43" s="707"/>
      <c r="G43" s="707"/>
      <c r="H43" s="707"/>
      <c r="I43" s="707"/>
      <c r="J43" s="707"/>
      <c r="K43" s="707"/>
      <c r="L43" s="707"/>
      <c r="M43" s="707"/>
      <c r="N43" s="707"/>
      <c r="O43" s="707"/>
      <c r="P43" s="707"/>
      <c r="Q43" s="707"/>
      <c r="R43" s="707"/>
      <c r="S43" s="707"/>
      <c r="T43" s="707"/>
      <c r="U43" s="707"/>
      <c r="V43" s="707"/>
      <c r="W43" s="707"/>
      <c r="X43" s="707"/>
      <c r="Y43" s="707"/>
      <c r="Z43" s="707"/>
      <c r="AA43" s="36" t="str">
        <f t="shared" si="0"/>
        <v/>
      </c>
      <c r="AB43" s="288" t="str">
        <f t="shared" si="23"/>
        <v/>
      </c>
      <c r="AC43" s="288" t="str">
        <f t="shared" si="24"/>
        <v/>
      </c>
      <c r="AD43" s="288" t="str">
        <f t="shared" si="25"/>
        <v/>
      </c>
      <c r="AE43" s="288" t="str">
        <f t="shared" si="26"/>
        <v/>
      </c>
      <c r="AF43" s="288" t="str">
        <f t="shared" si="27"/>
        <v/>
      </c>
      <c r="AG43" s="288" t="str">
        <f t="shared" si="28"/>
        <v/>
      </c>
      <c r="AH43" s="288" t="str">
        <f t="shared" si="29"/>
        <v/>
      </c>
      <c r="AI43" s="36">
        <f t="shared" si="30"/>
        <v>-1</v>
      </c>
      <c r="AJ43" s="36">
        <f t="shared" si="31"/>
        <v>-1</v>
      </c>
      <c r="AK43" s="36">
        <f t="shared" si="32"/>
        <v>-1</v>
      </c>
      <c r="AL43" s="36"/>
      <c r="AM43" s="36" t="str">
        <f t="shared" si="9"/>
        <v/>
      </c>
      <c r="AN43" s="288" t="str">
        <f t="shared" si="33"/>
        <v/>
      </c>
      <c r="AO43" s="288" t="str">
        <f t="shared" si="34"/>
        <v/>
      </c>
      <c r="AP43" s="288" t="str">
        <f t="shared" si="35"/>
        <v/>
      </c>
      <c r="AQ43" s="36">
        <f t="shared" ref="AQ43:AS43" si="45">AQ42</f>
        <v>3.3793103448275866E-2</v>
      </c>
      <c r="AR43" s="36">
        <f t="shared" si="45"/>
        <v>5.9329425287356324E-2</v>
      </c>
      <c r="AS43" s="36">
        <f t="shared" si="45"/>
        <v>8.4865747126436797E-2</v>
      </c>
      <c r="AT43" s="288">
        <f t="shared" si="37"/>
        <v>0.11040206896551726</v>
      </c>
      <c r="AU43" s="36" t="str">
        <f t="shared" si="38"/>
        <v/>
      </c>
      <c r="AV43" s="36" t="str">
        <f t="shared" si="39"/>
        <v/>
      </c>
      <c r="AW43" s="36" t="str">
        <f t="shared" si="40"/>
        <v/>
      </c>
    </row>
    <row r="44" spans="2:49">
      <c r="B44" s="1377"/>
      <c r="C44" s="707"/>
      <c r="D44" s="707"/>
      <c r="E44" s="707"/>
      <c r="F44" s="707"/>
      <c r="G44" s="707"/>
      <c r="H44" s="707"/>
      <c r="I44" s="707"/>
      <c r="J44" s="707"/>
      <c r="K44" s="707"/>
      <c r="L44" s="707"/>
      <c r="M44" s="707"/>
      <c r="N44" s="707"/>
      <c r="O44" s="707"/>
      <c r="P44" s="707"/>
      <c r="Q44" s="707"/>
      <c r="R44" s="707"/>
      <c r="S44" s="707"/>
      <c r="T44" s="707"/>
      <c r="U44" s="707"/>
      <c r="V44" s="707"/>
      <c r="W44" s="707"/>
      <c r="X44" s="707"/>
      <c r="Y44" s="707"/>
      <c r="Z44" s="707"/>
      <c r="AA44" s="36" t="str">
        <f t="shared" si="0"/>
        <v/>
      </c>
      <c r="AB44" s="288" t="str">
        <f t="shared" si="23"/>
        <v/>
      </c>
      <c r="AC44" s="288" t="str">
        <f t="shared" si="24"/>
        <v/>
      </c>
      <c r="AD44" s="288" t="str">
        <f t="shared" si="25"/>
        <v/>
      </c>
      <c r="AE44" s="288" t="str">
        <f t="shared" si="26"/>
        <v/>
      </c>
      <c r="AF44" s="288" t="str">
        <f t="shared" si="27"/>
        <v/>
      </c>
      <c r="AG44" s="288" t="str">
        <f t="shared" si="28"/>
        <v/>
      </c>
      <c r="AH44" s="288" t="str">
        <f t="shared" si="29"/>
        <v/>
      </c>
      <c r="AI44" s="36">
        <f t="shared" si="30"/>
        <v>-1</v>
      </c>
      <c r="AJ44" s="36">
        <f t="shared" si="31"/>
        <v>-1</v>
      </c>
      <c r="AK44" s="36">
        <f t="shared" si="32"/>
        <v>-1</v>
      </c>
      <c r="AL44" s="36"/>
      <c r="AM44" s="36" t="str">
        <f t="shared" si="9"/>
        <v/>
      </c>
      <c r="AN44" s="288" t="str">
        <f t="shared" si="33"/>
        <v/>
      </c>
      <c r="AO44" s="288" t="str">
        <f t="shared" si="34"/>
        <v/>
      </c>
      <c r="AP44" s="288" t="str">
        <f t="shared" si="35"/>
        <v/>
      </c>
      <c r="AQ44" s="36">
        <f t="shared" ref="AQ44:AS44" si="46">AQ43</f>
        <v>3.3793103448275866E-2</v>
      </c>
      <c r="AR44" s="36">
        <f t="shared" si="46"/>
        <v>5.9329425287356324E-2</v>
      </c>
      <c r="AS44" s="36">
        <f t="shared" si="46"/>
        <v>8.4865747126436797E-2</v>
      </c>
      <c r="AT44" s="288">
        <f t="shared" si="37"/>
        <v>0.11040206896551726</v>
      </c>
      <c r="AU44" s="36" t="str">
        <f t="shared" si="38"/>
        <v/>
      </c>
      <c r="AV44" s="36" t="str">
        <f t="shared" si="39"/>
        <v/>
      </c>
      <c r="AW44" s="36" t="str">
        <f t="shared" si="40"/>
        <v/>
      </c>
    </row>
    <row r="45" spans="2:49">
      <c r="B45" s="1377"/>
      <c r="C45" s="707"/>
      <c r="D45" s="707"/>
      <c r="E45" s="707"/>
      <c r="F45" s="707"/>
      <c r="G45" s="707"/>
      <c r="H45" s="707"/>
      <c r="I45" s="707"/>
      <c r="J45" s="707"/>
      <c r="K45" s="707"/>
      <c r="L45" s="707"/>
      <c r="M45" s="707"/>
      <c r="N45" s="707"/>
      <c r="O45" s="707"/>
      <c r="P45" s="707"/>
      <c r="Q45" s="707"/>
      <c r="R45" s="707"/>
      <c r="S45" s="707"/>
      <c r="T45" s="707"/>
      <c r="U45" s="707"/>
      <c r="V45" s="707"/>
      <c r="W45" s="707"/>
      <c r="X45" s="707"/>
      <c r="Y45" s="707"/>
      <c r="Z45" s="707"/>
      <c r="AA45" s="36" t="str">
        <f t="shared" si="0"/>
        <v/>
      </c>
      <c r="AB45" s="288" t="str">
        <f t="shared" si="23"/>
        <v/>
      </c>
      <c r="AC45" s="288" t="str">
        <f t="shared" si="24"/>
        <v/>
      </c>
      <c r="AD45" s="288" t="str">
        <f t="shared" si="25"/>
        <v/>
      </c>
      <c r="AE45" s="288" t="str">
        <f t="shared" si="26"/>
        <v/>
      </c>
      <c r="AF45" s="288" t="str">
        <f t="shared" si="27"/>
        <v/>
      </c>
      <c r="AG45" s="288" t="str">
        <f t="shared" si="28"/>
        <v/>
      </c>
      <c r="AH45" s="288" t="str">
        <f t="shared" si="29"/>
        <v/>
      </c>
      <c r="AI45" s="36">
        <f t="shared" si="30"/>
        <v>-1</v>
      </c>
      <c r="AJ45" s="36">
        <f t="shared" si="31"/>
        <v>-1</v>
      </c>
      <c r="AK45" s="36">
        <f t="shared" si="32"/>
        <v>-1</v>
      </c>
      <c r="AL45" s="36"/>
      <c r="AM45" s="36" t="str">
        <f t="shared" si="9"/>
        <v/>
      </c>
      <c r="AN45" s="288" t="str">
        <f t="shared" si="33"/>
        <v/>
      </c>
      <c r="AO45" s="288" t="str">
        <f t="shared" si="34"/>
        <v/>
      </c>
      <c r="AP45" s="288" t="str">
        <f t="shared" si="35"/>
        <v/>
      </c>
      <c r="AQ45" s="36">
        <f t="shared" ref="AQ45:AS45" si="47">AQ44</f>
        <v>3.3793103448275866E-2</v>
      </c>
      <c r="AR45" s="36">
        <f t="shared" si="47"/>
        <v>5.9329425287356324E-2</v>
      </c>
      <c r="AS45" s="36">
        <f t="shared" si="47"/>
        <v>8.4865747126436797E-2</v>
      </c>
      <c r="AT45" s="288">
        <f t="shared" si="37"/>
        <v>0.11040206896551726</v>
      </c>
      <c r="AU45" s="36" t="str">
        <f t="shared" si="38"/>
        <v/>
      </c>
      <c r="AV45" s="36" t="str">
        <f t="shared" si="39"/>
        <v/>
      </c>
      <c r="AW45" s="36" t="str">
        <f t="shared" si="40"/>
        <v/>
      </c>
    </row>
    <row r="46" spans="2:49">
      <c r="B46" s="1377"/>
      <c r="C46" s="707"/>
      <c r="D46" s="707"/>
      <c r="E46" s="707"/>
      <c r="F46" s="707"/>
      <c r="G46" s="707"/>
      <c r="H46" s="707"/>
      <c r="I46" s="707"/>
      <c r="J46" s="707"/>
      <c r="K46" s="707"/>
      <c r="L46" s="707"/>
      <c r="M46" s="707"/>
      <c r="N46" s="707"/>
      <c r="O46" s="707"/>
      <c r="P46" s="707"/>
      <c r="Q46" s="707"/>
      <c r="R46" s="707"/>
      <c r="S46" s="707"/>
      <c r="T46" s="707"/>
      <c r="U46" s="707"/>
      <c r="V46" s="707"/>
      <c r="W46" s="707"/>
      <c r="X46" s="707"/>
      <c r="Y46" s="707"/>
      <c r="Z46" s="707"/>
      <c r="AA46" s="36" t="str">
        <f t="shared" si="0"/>
        <v/>
      </c>
      <c r="AB46" s="288" t="str">
        <f t="shared" si="23"/>
        <v/>
      </c>
      <c r="AC46" s="288" t="str">
        <f t="shared" si="24"/>
        <v/>
      </c>
      <c r="AD46" s="288" t="str">
        <f t="shared" si="25"/>
        <v/>
      </c>
      <c r="AE46" s="288" t="str">
        <f t="shared" si="26"/>
        <v/>
      </c>
      <c r="AF46" s="288" t="str">
        <f t="shared" si="27"/>
        <v/>
      </c>
      <c r="AG46" s="288" t="str">
        <f t="shared" si="28"/>
        <v/>
      </c>
      <c r="AH46" s="288" t="str">
        <f t="shared" si="29"/>
        <v/>
      </c>
      <c r="AI46" s="36">
        <f t="shared" si="30"/>
        <v>-1</v>
      </c>
      <c r="AJ46" s="36">
        <f t="shared" si="31"/>
        <v>-1</v>
      </c>
      <c r="AK46" s="36">
        <f t="shared" si="32"/>
        <v>-1</v>
      </c>
      <c r="AL46" s="36"/>
      <c r="AM46" s="36" t="str">
        <f t="shared" si="9"/>
        <v/>
      </c>
      <c r="AN46" s="288" t="str">
        <f t="shared" si="33"/>
        <v/>
      </c>
      <c r="AO46" s="288" t="str">
        <f t="shared" si="34"/>
        <v/>
      </c>
      <c r="AP46" s="288" t="str">
        <f t="shared" si="35"/>
        <v/>
      </c>
      <c r="AQ46" s="36">
        <f t="shared" ref="AQ46:AS46" si="48">AQ45</f>
        <v>3.3793103448275866E-2</v>
      </c>
      <c r="AR46" s="36">
        <f t="shared" si="48"/>
        <v>5.9329425287356324E-2</v>
      </c>
      <c r="AS46" s="36">
        <f t="shared" si="48"/>
        <v>8.4865747126436797E-2</v>
      </c>
      <c r="AT46" s="288">
        <f t="shared" si="37"/>
        <v>0.11040206896551726</v>
      </c>
      <c r="AU46" s="36" t="str">
        <f t="shared" si="38"/>
        <v/>
      </c>
      <c r="AV46" s="36" t="str">
        <f t="shared" si="39"/>
        <v/>
      </c>
      <c r="AW46" s="36" t="str">
        <f t="shared" si="40"/>
        <v/>
      </c>
    </row>
    <row r="47" spans="2:49">
      <c r="B47" s="1377"/>
      <c r="C47" s="707"/>
      <c r="D47" s="707"/>
      <c r="E47" s="707"/>
      <c r="F47" s="707"/>
      <c r="G47" s="707"/>
      <c r="H47" s="707"/>
      <c r="I47" s="707"/>
      <c r="J47" s="707"/>
      <c r="K47" s="707"/>
      <c r="L47" s="707"/>
      <c r="M47" s="707"/>
      <c r="N47" s="707"/>
      <c r="O47" s="707"/>
      <c r="P47" s="707"/>
      <c r="Q47" s="707"/>
      <c r="R47" s="707"/>
      <c r="S47" s="707"/>
      <c r="T47" s="707"/>
      <c r="U47" s="707"/>
      <c r="V47" s="707"/>
      <c r="W47" s="707"/>
      <c r="X47" s="707"/>
      <c r="Y47" s="707"/>
      <c r="Z47" s="707"/>
      <c r="AA47" s="36" t="str">
        <f t="shared" si="0"/>
        <v/>
      </c>
      <c r="AB47" s="288" t="str">
        <f t="shared" si="23"/>
        <v/>
      </c>
      <c r="AC47" s="288" t="str">
        <f t="shared" si="24"/>
        <v/>
      </c>
      <c r="AD47" s="288" t="str">
        <f t="shared" si="25"/>
        <v/>
      </c>
      <c r="AE47" s="288" t="str">
        <f t="shared" si="26"/>
        <v/>
      </c>
      <c r="AF47" s="288" t="str">
        <f t="shared" si="27"/>
        <v/>
      </c>
      <c r="AG47" s="288" t="str">
        <f t="shared" si="28"/>
        <v/>
      </c>
      <c r="AH47" s="288" t="str">
        <f t="shared" si="29"/>
        <v/>
      </c>
      <c r="AI47" s="36">
        <f t="shared" si="30"/>
        <v>-1</v>
      </c>
      <c r="AJ47" s="36">
        <f t="shared" si="31"/>
        <v>-1</v>
      </c>
      <c r="AK47" s="36">
        <f t="shared" si="32"/>
        <v>-1</v>
      </c>
      <c r="AL47" s="36"/>
      <c r="AM47" s="36" t="str">
        <f t="shared" si="9"/>
        <v/>
      </c>
      <c r="AN47" s="288" t="str">
        <f t="shared" si="33"/>
        <v/>
      </c>
      <c r="AO47" s="288" t="str">
        <f t="shared" si="34"/>
        <v/>
      </c>
      <c r="AP47" s="288" t="str">
        <f t="shared" si="35"/>
        <v/>
      </c>
      <c r="AQ47" s="36">
        <f t="shared" ref="AQ47:AS47" si="49">AQ46</f>
        <v>3.3793103448275866E-2</v>
      </c>
      <c r="AR47" s="36">
        <f t="shared" si="49"/>
        <v>5.9329425287356324E-2</v>
      </c>
      <c r="AS47" s="36">
        <f t="shared" si="49"/>
        <v>8.4865747126436797E-2</v>
      </c>
      <c r="AT47" s="288">
        <f t="shared" si="37"/>
        <v>0.11040206896551726</v>
      </c>
      <c r="AU47" s="36" t="str">
        <f t="shared" si="38"/>
        <v/>
      </c>
      <c r="AV47" s="36" t="str">
        <f t="shared" si="39"/>
        <v/>
      </c>
      <c r="AW47" s="36" t="str">
        <f t="shared" si="40"/>
        <v/>
      </c>
    </row>
    <row r="48" spans="2:49">
      <c r="B48" s="1377"/>
      <c r="C48" s="707"/>
      <c r="D48" s="707"/>
      <c r="E48" s="707"/>
      <c r="F48" s="707"/>
      <c r="G48" s="707"/>
      <c r="H48" s="707"/>
      <c r="I48" s="707"/>
      <c r="J48" s="707"/>
      <c r="K48" s="707"/>
      <c r="L48" s="707"/>
      <c r="M48" s="707"/>
      <c r="N48" s="707"/>
      <c r="O48" s="707"/>
      <c r="P48" s="707"/>
      <c r="Q48" s="707"/>
      <c r="R48" s="707"/>
      <c r="S48" s="707"/>
      <c r="T48" s="707"/>
      <c r="U48" s="707"/>
      <c r="V48" s="707"/>
      <c r="W48" s="707"/>
      <c r="X48" s="707"/>
      <c r="Y48" s="707"/>
      <c r="Z48" s="707"/>
      <c r="AA48" s="36" t="str">
        <f t="shared" si="0"/>
        <v/>
      </c>
      <c r="AB48" s="288" t="str">
        <f t="shared" si="23"/>
        <v/>
      </c>
      <c r="AC48" s="288" t="str">
        <f t="shared" si="24"/>
        <v/>
      </c>
      <c r="AD48" s="288" t="str">
        <f t="shared" si="25"/>
        <v/>
      </c>
      <c r="AE48" s="288" t="str">
        <f t="shared" si="26"/>
        <v/>
      </c>
      <c r="AF48" s="288" t="str">
        <f t="shared" si="27"/>
        <v/>
      </c>
      <c r="AG48" s="288" t="str">
        <f t="shared" si="28"/>
        <v/>
      </c>
      <c r="AH48" s="288" t="str">
        <f t="shared" si="29"/>
        <v/>
      </c>
      <c r="AI48" s="36">
        <f t="shared" si="30"/>
        <v>-1</v>
      </c>
      <c r="AJ48" s="36">
        <f t="shared" si="31"/>
        <v>-1</v>
      </c>
      <c r="AK48" s="36">
        <f t="shared" si="32"/>
        <v>-1</v>
      </c>
      <c r="AL48" s="36"/>
      <c r="AM48" s="36" t="str">
        <f t="shared" si="9"/>
        <v/>
      </c>
      <c r="AN48" s="288" t="str">
        <f t="shared" si="33"/>
        <v/>
      </c>
      <c r="AO48" s="288" t="str">
        <f t="shared" si="34"/>
        <v/>
      </c>
      <c r="AP48" s="288" t="str">
        <f t="shared" si="35"/>
        <v/>
      </c>
      <c r="AQ48" s="36">
        <f t="shared" ref="AQ48:AS48" si="50">AQ47</f>
        <v>3.3793103448275866E-2</v>
      </c>
      <c r="AR48" s="36">
        <f t="shared" si="50"/>
        <v>5.9329425287356324E-2</v>
      </c>
      <c r="AS48" s="36">
        <f t="shared" si="50"/>
        <v>8.4865747126436797E-2</v>
      </c>
      <c r="AT48" s="288">
        <f t="shared" si="37"/>
        <v>0.11040206896551726</v>
      </c>
      <c r="AU48" s="36" t="str">
        <f t="shared" si="38"/>
        <v/>
      </c>
      <c r="AV48" s="36" t="str">
        <f t="shared" si="39"/>
        <v/>
      </c>
      <c r="AW48" s="36" t="str">
        <f t="shared" si="40"/>
        <v/>
      </c>
    </row>
    <row r="49" spans="2:49">
      <c r="B49" s="1377"/>
      <c r="C49" s="707"/>
      <c r="D49" s="707"/>
      <c r="E49" s="707"/>
      <c r="F49" s="707"/>
      <c r="G49" s="707"/>
      <c r="H49" s="707"/>
      <c r="I49" s="707"/>
      <c r="J49" s="707"/>
      <c r="K49" s="707"/>
      <c r="L49" s="707"/>
      <c r="M49" s="707"/>
      <c r="N49" s="707"/>
      <c r="O49" s="707"/>
      <c r="P49" s="707"/>
      <c r="Q49" s="707"/>
      <c r="R49" s="707"/>
      <c r="S49" s="707"/>
      <c r="T49" s="707"/>
      <c r="U49" s="707"/>
      <c r="V49" s="707"/>
      <c r="W49" s="707"/>
      <c r="X49" s="707"/>
      <c r="Y49" s="707"/>
      <c r="Z49" s="707"/>
      <c r="AA49" s="36" t="str">
        <f t="shared" si="0"/>
        <v/>
      </c>
      <c r="AB49" s="288" t="str">
        <f t="shared" si="23"/>
        <v/>
      </c>
      <c r="AC49" s="288" t="str">
        <f t="shared" si="24"/>
        <v/>
      </c>
      <c r="AD49" s="288" t="str">
        <f t="shared" si="25"/>
        <v/>
      </c>
      <c r="AE49" s="288" t="str">
        <f t="shared" si="26"/>
        <v/>
      </c>
      <c r="AF49" s="288" t="str">
        <f t="shared" si="27"/>
        <v/>
      </c>
      <c r="AG49" s="288" t="str">
        <f t="shared" si="28"/>
        <v/>
      </c>
      <c r="AH49" s="288" t="str">
        <f t="shared" si="29"/>
        <v/>
      </c>
      <c r="AI49" s="36">
        <f t="shared" si="30"/>
        <v>-1</v>
      </c>
      <c r="AJ49" s="36">
        <f t="shared" si="31"/>
        <v>-1</v>
      </c>
      <c r="AK49" s="36">
        <f t="shared" si="32"/>
        <v>-1</v>
      </c>
      <c r="AL49" s="36"/>
      <c r="AM49" s="36" t="str">
        <f t="shared" si="9"/>
        <v/>
      </c>
      <c r="AN49" s="288" t="str">
        <f t="shared" si="33"/>
        <v/>
      </c>
      <c r="AO49" s="288" t="str">
        <f t="shared" si="34"/>
        <v/>
      </c>
      <c r="AP49" s="288" t="str">
        <f t="shared" si="35"/>
        <v/>
      </c>
      <c r="AQ49" s="36">
        <f t="shared" ref="AQ49:AS49" si="51">AQ48</f>
        <v>3.3793103448275866E-2</v>
      </c>
      <c r="AR49" s="36">
        <f t="shared" si="51"/>
        <v>5.9329425287356324E-2</v>
      </c>
      <c r="AS49" s="36">
        <f t="shared" si="51"/>
        <v>8.4865747126436797E-2</v>
      </c>
      <c r="AT49" s="288">
        <f t="shared" si="37"/>
        <v>0.11040206896551726</v>
      </c>
      <c r="AU49" s="36" t="str">
        <f t="shared" si="38"/>
        <v/>
      </c>
      <c r="AV49" s="36" t="str">
        <f t="shared" si="39"/>
        <v/>
      </c>
      <c r="AW49" s="36" t="str">
        <f t="shared" si="40"/>
        <v/>
      </c>
    </row>
    <row r="50" spans="2:49">
      <c r="B50" s="1377"/>
      <c r="C50" s="707"/>
      <c r="D50" s="707"/>
      <c r="E50" s="707"/>
      <c r="F50" s="707"/>
      <c r="G50" s="707"/>
      <c r="H50" s="707"/>
      <c r="I50" s="707"/>
      <c r="J50" s="707"/>
      <c r="K50" s="707"/>
      <c r="L50" s="707"/>
      <c r="M50" s="707"/>
      <c r="N50" s="707"/>
      <c r="O50" s="707"/>
      <c r="P50" s="707"/>
      <c r="Q50" s="707"/>
      <c r="R50" s="707"/>
      <c r="S50" s="707"/>
      <c r="T50" s="707"/>
      <c r="U50" s="707"/>
      <c r="V50" s="707"/>
      <c r="W50" s="707"/>
      <c r="X50" s="707"/>
      <c r="Y50" s="707"/>
      <c r="Z50" s="707"/>
      <c r="AA50" s="36" t="str">
        <f t="shared" si="0"/>
        <v/>
      </c>
      <c r="AB50" s="288" t="str">
        <f t="shared" si="23"/>
        <v/>
      </c>
      <c r="AC50" s="288" t="str">
        <f t="shared" si="24"/>
        <v/>
      </c>
      <c r="AD50" s="288" t="str">
        <f t="shared" si="25"/>
        <v/>
      </c>
      <c r="AE50" s="288" t="str">
        <f t="shared" si="26"/>
        <v/>
      </c>
      <c r="AF50" s="288" t="str">
        <f t="shared" si="27"/>
        <v/>
      </c>
      <c r="AG50" s="288" t="str">
        <f t="shared" si="28"/>
        <v/>
      </c>
      <c r="AH50" s="288" t="str">
        <f t="shared" si="29"/>
        <v/>
      </c>
      <c r="AI50" s="36">
        <f t="shared" si="30"/>
        <v>-1</v>
      </c>
      <c r="AJ50" s="36">
        <f t="shared" si="31"/>
        <v>-1</v>
      </c>
      <c r="AK50" s="36">
        <f t="shared" si="32"/>
        <v>-1</v>
      </c>
      <c r="AL50" s="36"/>
      <c r="AM50" s="36" t="str">
        <f t="shared" si="9"/>
        <v/>
      </c>
      <c r="AN50" s="288" t="str">
        <f t="shared" si="33"/>
        <v/>
      </c>
      <c r="AO50" s="288" t="str">
        <f t="shared" si="34"/>
        <v/>
      </c>
      <c r="AP50" s="288" t="str">
        <f t="shared" si="35"/>
        <v/>
      </c>
      <c r="AQ50" s="36">
        <f t="shared" ref="AQ50:AS50" si="52">AQ49</f>
        <v>3.3793103448275866E-2</v>
      </c>
      <c r="AR50" s="36">
        <f t="shared" si="52"/>
        <v>5.9329425287356324E-2</v>
      </c>
      <c r="AS50" s="36">
        <f t="shared" si="52"/>
        <v>8.4865747126436797E-2</v>
      </c>
      <c r="AT50" s="288">
        <f t="shared" si="37"/>
        <v>0.11040206896551726</v>
      </c>
      <c r="AU50" s="36" t="str">
        <f t="shared" si="38"/>
        <v/>
      </c>
      <c r="AV50" s="36" t="str">
        <f t="shared" si="39"/>
        <v/>
      </c>
      <c r="AW50" s="36" t="str">
        <f t="shared" si="40"/>
        <v/>
      </c>
    </row>
    <row r="51" spans="2:49">
      <c r="B51" s="1377"/>
      <c r="C51" s="707"/>
      <c r="D51" s="707"/>
      <c r="E51" s="707"/>
      <c r="F51" s="707"/>
      <c r="G51" s="707"/>
      <c r="H51" s="707"/>
      <c r="I51" s="707"/>
      <c r="J51" s="707"/>
      <c r="K51" s="707"/>
      <c r="L51" s="707"/>
      <c r="M51" s="707"/>
      <c r="N51" s="707"/>
      <c r="O51" s="707"/>
      <c r="P51" s="707"/>
      <c r="Q51" s="707"/>
      <c r="R51" s="707"/>
      <c r="S51" s="707"/>
      <c r="T51" s="707"/>
      <c r="U51" s="707"/>
      <c r="V51" s="707"/>
      <c r="W51" s="707"/>
      <c r="X51" s="707"/>
      <c r="Y51" s="707"/>
      <c r="Z51" s="707"/>
      <c r="AA51" s="36" t="str">
        <f t="shared" si="0"/>
        <v/>
      </c>
      <c r="AB51" s="288" t="str">
        <f t="shared" si="23"/>
        <v/>
      </c>
      <c r="AC51" s="288" t="str">
        <f t="shared" si="24"/>
        <v/>
      </c>
      <c r="AD51" s="288" t="str">
        <f t="shared" si="25"/>
        <v/>
      </c>
      <c r="AE51" s="288" t="str">
        <f t="shared" si="26"/>
        <v/>
      </c>
      <c r="AF51" s="288" t="str">
        <f t="shared" si="27"/>
        <v/>
      </c>
      <c r="AG51" s="288" t="str">
        <f t="shared" si="28"/>
        <v/>
      </c>
      <c r="AH51" s="288" t="str">
        <f t="shared" si="29"/>
        <v/>
      </c>
      <c r="AI51" s="36">
        <f t="shared" si="30"/>
        <v>-1</v>
      </c>
      <c r="AJ51" s="36">
        <f t="shared" si="31"/>
        <v>-1</v>
      </c>
      <c r="AK51" s="36">
        <f t="shared" si="32"/>
        <v>-1</v>
      </c>
      <c r="AL51" s="36"/>
      <c r="AM51" s="36" t="str">
        <f t="shared" si="9"/>
        <v/>
      </c>
      <c r="AN51" s="288" t="str">
        <f t="shared" si="33"/>
        <v/>
      </c>
      <c r="AO51" s="288" t="str">
        <f t="shared" si="34"/>
        <v/>
      </c>
      <c r="AP51" s="288" t="str">
        <f t="shared" si="35"/>
        <v/>
      </c>
      <c r="AQ51" s="36">
        <f t="shared" ref="AQ51:AS51" si="53">AQ50</f>
        <v>3.3793103448275866E-2</v>
      </c>
      <c r="AR51" s="36">
        <f t="shared" si="53"/>
        <v>5.9329425287356324E-2</v>
      </c>
      <c r="AS51" s="36">
        <f t="shared" si="53"/>
        <v>8.4865747126436797E-2</v>
      </c>
      <c r="AT51" s="288">
        <f t="shared" si="37"/>
        <v>0.11040206896551726</v>
      </c>
      <c r="AU51" s="36" t="str">
        <f t="shared" si="38"/>
        <v/>
      </c>
      <c r="AV51" s="36" t="str">
        <f t="shared" si="39"/>
        <v/>
      </c>
      <c r="AW51" s="36" t="str">
        <f t="shared" si="40"/>
        <v/>
      </c>
    </row>
    <row r="52" spans="2:49">
      <c r="B52" s="287"/>
      <c r="C52" s="707"/>
      <c r="D52" s="707"/>
      <c r="E52" s="707"/>
      <c r="F52" s="707"/>
      <c r="G52" s="707"/>
      <c r="H52" s="707"/>
      <c r="I52" s="707"/>
      <c r="J52" s="707"/>
      <c r="K52" s="707"/>
      <c r="L52" s="707"/>
      <c r="M52" s="707"/>
      <c r="N52" s="707"/>
      <c r="O52" s="707"/>
      <c r="P52" s="707"/>
      <c r="Q52" s="707"/>
      <c r="R52" s="707"/>
      <c r="S52" s="707"/>
      <c r="T52" s="707"/>
      <c r="U52" s="707"/>
      <c r="V52" s="707"/>
      <c r="W52" s="707"/>
      <c r="X52" s="707"/>
      <c r="Y52" s="707"/>
      <c r="Z52" s="707"/>
      <c r="AA52" s="36" t="str">
        <f t="shared" si="0"/>
        <v/>
      </c>
      <c r="AB52" s="288" t="str">
        <f t="shared" ref="AB52:AB115" si="54">IF(AA52="", "", AE52-(3*STDEV(AA:AA)))</f>
        <v/>
      </c>
      <c r="AC52" s="288" t="str">
        <f t="shared" ref="AC52:AC115" si="55">IF(AA52="", "",AE52-(2*STDEV(AA:AA)))</f>
        <v/>
      </c>
      <c r="AD52" s="288" t="str">
        <f t="shared" ref="AD52:AD115" si="56">IF(AA52="", "", AE52-STDEV(AA:AA))</f>
        <v/>
      </c>
      <c r="AE52" s="288" t="str">
        <f t="shared" ref="AE52:AE115" si="57">IF(AA52="", "", AVERAGE(AA:AA))</f>
        <v/>
      </c>
      <c r="AF52" s="288" t="str">
        <f t="shared" ref="AF52:AF115" si="58">IF(AC52="", "", AE52+STDEV(AA:AA))</f>
        <v/>
      </c>
      <c r="AG52" s="288" t="str">
        <f t="shared" ref="AG52:AG115" si="59">IF(AE52="", "",AE52+(2*STDEV(AA:AA)))</f>
        <v/>
      </c>
      <c r="AH52" s="288" t="str">
        <f t="shared" ref="AH52:AH115" si="60">IF(AG52="", "", AE52+(3*STDEV(AA:AA)))</f>
        <v/>
      </c>
      <c r="AI52" s="36">
        <f t="shared" ref="AI52:AI115" si="61">IF(OR(AA52&gt;AH52,AA52&lt;AB52),AA52,-1)</f>
        <v>-1</v>
      </c>
      <c r="AJ52" s="36">
        <f t="shared" ref="AJ52:AJ115" si="62">IF(IF(AA51&gt;AG51,1,0)+IF(AA52&gt;AG52,1,0)+IF(AA53&gt;AG53,1,0)+IF(AA51&lt;AC51,1,0)+IF(AA52&lt;AC52,1,0)+IF(AA53&lt;AC53,1,0)&gt;=2,AA52,-1)</f>
        <v>-1</v>
      </c>
      <c r="AK52" s="36">
        <f t="shared" ref="AK52:AK115" si="63">IF(IF(AA50&lt;AD50,1,0)+IF(AA52&lt;AD52,1,0)+IF(AA53&lt;AD53,1,0)+IF(AA54&lt;AD54,1,0)+IF(AA51&lt;AD51,1,0)+IF(AA50&gt;AF50,1,0)+IF(AA51&gt;AF51,1,0)+IF(AA52&gt;AF52,1,0)+IF(AA53&gt;AF53,1,0)+IF(AA54&gt;AF54,1,0)&gt;4,AA52,-1)</f>
        <v>-1</v>
      </c>
      <c r="AL52" s="36"/>
      <c r="AM52" s="36" t="str">
        <f t="shared" si="9"/>
        <v/>
      </c>
      <c r="AN52" s="288" t="str">
        <f t="shared" ref="AN52:AN115" si="64">IF(AM52="", "", AQ52-(3*STDEV(AM:AM)))</f>
        <v/>
      </c>
      <c r="AO52" s="288" t="str">
        <f t="shared" ref="AO52:AO115" si="65">IF(AM52="", "", IF($AQ52-(2*(($AT52-$AQ52)/3))&lt;0, 0, $AQ52-(2*(($AT52-$AQ52)/3))))</f>
        <v/>
      </c>
      <c r="AP52" s="288" t="str">
        <f t="shared" ref="AP52:AP115" si="66">IF(AM52="", "", IF($AQ52-(($AT52-$AQ52)/3)&lt;0, 0, $AQ51-(($AT51-$AQ51)/3)))</f>
        <v/>
      </c>
      <c r="AQ52" s="36">
        <f t="shared" ref="AQ52:AS52" si="67">AQ51</f>
        <v>3.3793103448275866E-2</v>
      </c>
      <c r="AR52" s="36">
        <f t="shared" si="67"/>
        <v>5.9329425287356324E-2</v>
      </c>
      <c r="AS52" s="36">
        <f t="shared" si="67"/>
        <v>8.4865747126436797E-2</v>
      </c>
      <c r="AT52" s="288">
        <f t="shared" ref="AT52:AT115" si="68">$BM$3*AQ52</f>
        <v>0.11040206896551726</v>
      </c>
      <c r="AU52" s="36"/>
      <c r="AV52" s="36"/>
      <c r="AW52" s="36"/>
    </row>
    <row r="53" spans="2:49">
      <c r="B53" s="287"/>
      <c r="C53" s="707"/>
      <c r="D53" s="707"/>
      <c r="E53" s="707"/>
      <c r="F53" s="707"/>
      <c r="G53" s="707"/>
      <c r="H53" s="707"/>
      <c r="I53" s="707"/>
      <c r="J53" s="707"/>
      <c r="K53" s="707"/>
      <c r="L53" s="707"/>
      <c r="M53" s="707"/>
      <c r="N53" s="707"/>
      <c r="O53" s="707"/>
      <c r="P53" s="707"/>
      <c r="Q53" s="707"/>
      <c r="R53" s="707"/>
      <c r="S53" s="707"/>
      <c r="T53" s="707"/>
      <c r="U53" s="707"/>
      <c r="V53" s="707"/>
      <c r="W53" s="707"/>
      <c r="X53" s="707"/>
      <c r="Y53" s="707"/>
      <c r="Z53" s="707"/>
      <c r="AA53" s="36" t="str">
        <f t="shared" si="0"/>
        <v/>
      </c>
      <c r="AB53" s="288" t="str">
        <f t="shared" si="54"/>
        <v/>
      </c>
      <c r="AC53" s="288" t="str">
        <f t="shared" si="55"/>
        <v/>
      </c>
      <c r="AD53" s="288" t="str">
        <f t="shared" si="56"/>
        <v/>
      </c>
      <c r="AE53" s="288" t="str">
        <f t="shared" si="57"/>
        <v/>
      </c>
      <c r="AF53" s="288" t="str">
        <f t="shared" si="58"/>
        <v/>
      </c>
      <c r="AG53" s="288" t="str">
        <f t="shared" si="59"/>
        <v/>
      </c>
      <c r="AH53" s="288" t="str">
        <f t="shared" si="60"/>
        <v/>
      </c>
      <c r="AI53" s="36">
        <f t="shared" si="61"/>
        <v>-1</v>
      </c>
      <c r="AJ53" s="36">
        <f t="shared" si="62"/>
        <v>-1</v>
      </c>
      <c r="AK53" s="36">
        <f t="shared" si="63"/>
        <v>-1</v>
      </c>
      <c r="AL53" s="36"/>
      <c r="AM53" s="36" t="str">
        <f t="shared" si="9"/>
        <v/>
      </c>
      <c r="AN53" s="288" t="str">
        <f t="shared" si="64"/>
        <v/>
      </c>
      <c r="AO53" s="288" t="str">
        <f t="shared" si="65"/>
        <v/>
      </c>
      <c r="AP53" s="288" t="str">
        <f t="shared" si="66"/>
        <v/>
      </c>
      <c r="AQ53" s="36">
        <f t="shared" ref="AQ53:AS53" si="69">AQ52</f>
        <v>3.3793103448275866E-2</v>
      </c>
      <c r="AR53" s="36">
        <f t="shared" si="69"/>
        <v>5.9329425287356324E-2</v>
      </c>
      <c r="AS53" s="36">
        <f t="shared" si="69"/>
        <v>8.4865747126436797E-2</v>
      </c>
      <c r="AT53" s="288">
        <f t="shared" si="68"/>
        <v>0.11040206896551726</v>
      </c>
      <c r="AU53" s="36"/>
      <c r="AV53" s="36"/>
      <c r="AW53" s="36"/>
    </row>
    <row r="54" spans="2:49">
      <c r="B54" s="287"/>
      <c r="C54" s="707"/>
      <c r="D54" s="707"/>
      <c r="E54" s="707"/>
      <c r="F54" s="707"/>
      <c r="G54" s="707"/>
      <c r="H54" s="707"/>
      <c r="I54" s="707"/>
      <c r="J54" s="707"/>
      <c r="K54" s="707"/>
      <c r="L54" s="707"/>
      <c r="M54" s="707"/>
      <c r="N54" s="707"/>
      <c r="O54" s="707"/>
      <c r="P54" s="707"/>
      <c r="Q54" s="707"/>
      <c r="R54" s="707"/>
      <c r="S54" s="707"/>
      <c r="T54" s="707"/>
      <c r="U54" s="707"/>
      <c r="V54" s="707"/>
      <c r="W54" s="707"/>
      <c r="X54" s="707"/>
      <c r="Y54" s="707"/>
      <c r="Z54" s="707"/>
      <c r="AA54" s="36" t="str">
        <f t="shared" si="0"/>
        <v/>
      </c>
      <c r="AB54" s="288" t="str">
        <f t="shared" si="54"/>
        <v/>
      </c>
      <c r="AC54" s="288" t="str">
        <f t="shared" si="55"/>
        <v/>
      </c>
      <c r="AD54" s="288" t="str">
        <f t="shared" si="56"/>
        <v/>
      </c>
      <c r="AE54" s="288" t="str">
        <f t="shared" si="57"/>
        <v/>
      </c>
      <c r="AF54" s="288" t="str">
        <f t="shared" si="58"/>
        <v/>
      </c>
      <c r="AG54" s="288" t="str">
        <f t="shared" si="59"/>
        <v/>
      </c>
      <c r="AH54" s="288" t="str">
        <f t="shared" si="60"/>
        <v/>
      </c>
      <c r="AI54" s="36">
        <f t="shared" si="61"/>
        <v>-1</v>
      </c>
      <c r="AJ54" s="36">
        <f t="shared" si="62"/>
        <v>-1</v>
      </c>
      <c r="AK54" s="36">
        <f t="shared" si="63"/>
        <v>-1</v>
      </c>
      <c r="AL54" s="36"/>
      <c r="AM54" s="36" t="str">
        <f t="shared" si="9"/>
        <v/>
      </c>
      <c r="AN54" s="288" t="str">
        <f t="shared" si="64"/>
        <v/>
      </c>
      <c r="AO54" s="288" t="str">
        <f t="shared" si="65"/>
        <v/>
      </c>
      <c r="AP54" s="288" t="str">
        <f t="shared" si="66"/>
        <v/>
      </c>
      <c r="AQ54" s="36">
        <f t="shared" ref="AQ54:AS54" si="70">AQ53</f>
        <v>3.3793103448275866E-2</v>
      </c>
      <c r="AR54" s="36">
        <f t="shared" si="70"/>
        <v>5.9329425287356324E-2</v>
      </c>
      <c r="AS54" s="36">
        <f t="shared" si="70"/>
        <v>8.4865747126436797E-2</v>
      </c>
      <c r="AT54" s="288">
        <f t="shared" si="68"/>
        <v>0.11040206896551726</v>
      </c>
      <c r="AU54" s="36"/>
      <c r="AV54" s="36"/>
      <c r="AW54" s="36"/>
    </row>
    <row r="55" spans="2:49">
      <c r="B55" s="287"/>
      <c r="C55" s="707"/>
      <c r="D55" s="707"/>
      <c r="E55" s="707"/>
      <c r="F55" s="707"/>
      <c r="G55" s="707"/>
      <c r="H55" s="707"/>
      <c r="I55" s="707"/>
      <c r="J55" s="707"/>
      <c r="K55" s="707"/>
      <c r="L55" s="707"/>
      <c r="M55" s="707"/>
      <c r="N55" s="707"/>
      <c r="O55" s="707"/>
      <c r="P55" s="707"/>
      <c r="Q55" s="707"/>
      <c r="R55" s="707"/>
      <c r="S55" s="707"/>
      <c r="T55" s="707"/>
      <c r="U55" s="707"/>
      <c r="V55" s="707"/>
      <c r="W55" s="707"/>
      <c r="X55" s="707"/>
      <c r="Y55" s="707"/>
      <c r="Z55" s="707"/>
      <c r="AA55" s="36" t="str">
        <f t="shared" si="0"/>
        <v/>
      </c>
      <c r="AB55" s="288" t="str">
        <f t="shared" si="54"/>
        <v/>
      </c>
      <c r="AC55" s="288" t="str">
        <f t="shared" si="55"/>
        <v/>
      </c>
      <c r="AD55" s="288" t="str">
        <f t="shared" si="56"/>
        <v/>
      </c>
      <c r="AE55" s="288" t="str">
        <f t="shared" si="57"/>
        <v/>
      </c>
      <c r="AF55" s="288" t="str">
        <f t="shared" si="58"/>
        <v/>
      </c>
      <c r="AG55" s="288" t="str">
        <f t="shared" si="59"/>
        <v/>
      </c>
      <c r="AH55" s="288" t="str">
        <f t="shared" si="60"/>
        <v/>
      </c>
      <c r="AI55" s="36">
        <f t="shared" si="61"/>
        <v>-1</v>
      </c>
      <c r="AJ55" s="36">
        <f t="shared" si="62"/>
        <v>-1</v>
      </c>
      <c r="AK55" s="36">
        <f t="shared" si="63"/>
        <v>-1</v>
      </c>
      <c r="AL55" s="36"/>
      <c r="AM55" s="36" t="str">
        <f t="shared" si="9"/>
        <v/>
      </c>
      <c r="AN55" s="288" t="str">
        <f t="shared" si="64"/>
        <v/>
      </c>
      <c r="AO55" s="288" t="str">
        <f t="shared" si="65"/>
        <v/>
      </c>
      <c r="AP55" s="288" t="str">
        <f t="shared" si="66"/>
        <v/>
      </c>
      <c r="AQ55" s="36">
        <f t="shared" ref="AQ55:AS55" si="71">AQ54</f>
        <v>3.3793103448275866E-2</v>
      </c>
      <c r="AR55" s="36">
        <f t="shared" si="71"/>
        <v>5.9329425287356324E-2</v>
      </c>
      <c r="AS55" s="36">
        <f t="shared" si="71"/>
        <v>8.4865747126436797E-2</v>
      </c>
      <c r="AT55" s="288">
        <f t="shared" si="68"/>
        <v>0.11040206896551726</v>
      </c>
      <c r="AU55" s="36"/>
      <c r="AV55" s="36"/>
      <c r="AW55" s="36"/>
    </row>
    <row r="56" spans="2:49">
      <c r="B56" s="287"/>
      <c r="C56" s="707"/>
      <c r="D56" s="707"/>
      <c r="E56" s="707"/>
      <c r="F56" s="707"/>
      <c r="G56" s="707"/>
      <c r="H56" s="707"/>
      <c r="I56" s="707"/>
      <c r="J56" s="707"/>
      <c r="K56" s="707"/>
      <c r="L56" s="707"/>
      <c r="M56" s="707"/>
      <c r="N56" s="707"/>
      <c r="O56" s="707"/>
      <c r="P56" s="707"/>
      <c r="Q56" s="707"/>
      <c r="R56" s="707"/>
      <c r="S56" s="707"/>
      <c r="T56" s="707"/>
      <c r="U56" s="707"/>
      <c r="V56" s="707"/>
      <c r="W56" s="707"/>
      <c r="X56" s="707"/>
      <c r="Y56" s="707"/>
      <c r="Z56" s="707"/>
      <c r="AA56" s="36" t="str">
        <f t="shared" si="0"/>
        <v/>
      </c>
      <c r="AB56" s="288" t="str">
        <f t="shared" si="54"/>
        <v/>
      </c>
      <c r="AC56" s="288" t="str">
        <f t="shared" si="55"/>
        <v/>
      </c>
      <c r="AD56" s="288" t="str">
        <f t="shared" si="56"/>
        <v/>
      </c>
      <c r="AE56" s="288" t="str">
        <f t="shared" si="57"/>
        <v/>
      </c>
      <c r="AF56" s="288" t="str">
        <f t="shared" si="58"/>
        <v/>
      </c>
      <c r="AG56" s="288" t="str">
        <f t="shared" si="59"/>
        <v/>
      </c>
      <c r="AH56" s="288" t="str">
        <f t="shared" si="60"/>
        <v/>
      </c>
      <c r="AI56" s="36">
        <f t="shared" si="61"/>
        <v>-1</v>
      </c>
      <c r="AJ56" s="36">
        <f t="shared" si="62"/>
        <v>-1</v>
      </c>
      <c r="AK56" s="36">
        <f t="shared" si="63"/>
        <v>-1</v>
      </c>
      <c r="AL56" s="36"/>
      <c r="AM56" s="36" t="str">
        <f t="shared" si="9"/>
        <v/>
      </c>
      <c r="AN56" s="288" t="str">
        <f t="shared" si="64"/>
        <v/>
      </c>
      <c r="AO56" s="288" t="str">
        <f t="shared" si="65"/>
        <v/>
      </c>
      <c r="AP56" s="288" t="str">
        <f t="shared" si="66"/>
        <v/>
      </c>
      <c r="AQ56" s="36">
        <f t="shared" ref="AQ56:AS56" si="72">AQ55</f>
        <v>3.3793103448275866E-2</v>
      </c>
      <c r="AR56" s="36">
        <f t="shared" si="72"/>
        <v>5.9329425287356324E-2</v>
      </c>
      <c r="AS56" s="36">
        <f t="shared" si="72"/>
        <v>8.4865747126436797E-2</v>
      </c>
      <c r="AT56" s="288">
        <f t="shared" si="68"/>
        <v>0.11040206896551726</v>
      </c>
      <c r="AU56" s="36"/>
      <c r="AV56" s="36"/>
      <c r="AW56" s="36"/>
    </row>
    <row r="57" spans="2:49">
      <c r="B57" s="287"/>
      <c r="C57" s="707"/>
      <c r="D57" s="707"/>
      <c r="E57" s="707"/>
      <c r="F57" s="707"/>
      <c r="G57" s="707"/>
      <c r="H57" s="707"/>
      <c r="I57" s="707"/>
      <c r="J57" s="707"/>
      <c r="K57" s="707"/>
      <c r="L57" s="707"/>
      <c r="M57" s="707"/>
      <c r="N57" s="707"/>
      <c r="O57" s="707"/>
      <c r="P57" s="707"/>
      <c r="Q57" s="707"/>
      <c r="R57" s="707"/>
      <c r="S57" s="707"/>
      <c r="T57" s="707"/>
      <c r="U57" s="707"/>
      <c r="V57" s="707"/>
      <c r="W57" s="707"/>
      <c r="X57" s="707"/>
      <c r="Y57" s="707"/>
      <c r="Z57" s="707"/>
      <c r="AA57" s="36" t="str">
        <f t="shared" si="0"/>
        <v/>
      </c>
      <c r="AB57" s="288" t="str">
        <f t="shared" si="54"/>
        <v/>
      </c>
      <c r="AC57" s="288" t="str">
        <f t="shared" si="55"/>
        <v/>
      </c>
      <c r="AD57" s="288" t="str">
        <f t="shared" si="56"/>
        <v/>
      </c>
      <c r="AE57" s="288" t="str">
        <f t="shared" si="57"/>
        <v/>
      </c>
      <c r="AF57" s="288" t="str">
        <f t="shared" si="58"/>
        <v/>
      </c>
      <c r="AG57" s="288" t="str">
        <f t="shared" si="59"/>
        <v/>
      </c>
      <c r="AH57" s="288" t="str">
        <f t="shared" si="60"/>
        <v/>
      </c>
      <c r="AI57" s="36">
        <f t="shared" si="61"/>
        <v>-1</v>
      </c>
      <c r="AJ57" s="36">
        <f t="shared" si="62"/>
        <v>-1</v>
      </c>
      <c r="AK57" s="36">
        <f t="shared" si="63"/>
        <v>-1</v>
      </c>
      <c r="AL57" s="36"/>
      <c r="AM57" s="36" t="str">
        <f t="shared" si="9"/>
        <v/>
      </c>
      <c r="AN57" s="288" t="str">
        <f t="shared" si="64"/>
        <v/>
      </c>
      <c r="AO57" s="288" t="str">
        <f t="shared" si="65"/>
        <v/>
      </c>
      <c r="AP57" s="288" t="str">
        <f t="shared" si="66"/>
        <v/>
      </c>
      <c r="AQ57" s="36">
        <f t="shared" ref="AQ57:AS57" si="73">AQ56</f>
        <v>3.3793103448275866E-2</v>
      </c>
      <c r="AR57" s="36">
        <f t="shared" si="73"/>
        <v>5.9329425287356324E-2</v>
      </c>
      <c r="AS57" s="36">
        <f t="shared" si="73"/>
        <v>8.4865747126436797E-2</v>
      </c>
      <c r="AT57" s="288">
        <f t="shared" si="68"/>
        <v>0.11040206896551726</v>
      </c>
      <c r="AU57" s="36"/>
      <c r="AV57" s="36"/>
      <c r="AW57" s="36"/>
    </row>
    <row r="58" spans="2:49">
      <c r="B58" s="287"/>
      <c r="C58" s="707"/>
      <c r="D58" s="707"/>
      <c r="E58" s="707"/>
      <c r="F58" s="707"/>
      <c r="G58" s="707"/>
      <c r="H58" s="707"/>
      <c r="I58" s="707"/>
      <c r="J58" s="707"/>
      <c r="K58" s="707"/>
      <c r="L58" s="707"/>
      <c r="M58" s="707"/>
      <c r="N58" s="707"/>
      <c r="O58" s="707"/>
      <c r="P58" s="707"/>
      <c r="Q58" s="707"/>
      <c r="R58" s="707"/>
      <c r="S58" s="707"/>
      <c r="T58" s="707"/>
      <c r="U58" s="707"/>
      <c r="V58" s="707"/>
      <c r="W58" s="707"/>
      <c r="X58" s="707"/>
      <c r="Y58" s="707"/>
      <c r="Z58" s="707"/>
      <c r="AA58" s="36" t="str">
        <f t="shared" si="0"/>
        <v/>
      </c>
      <c r="AB58" s="288" t="str">
        <f t="shared" si="54"/>
        <v/>
      </c>
      <c r="AC58" s="288" t="str">
        <f t="shared" si="55"/>
        <v/>
      </c>
      <c r="AD58" s="288" t="str">
        <f t="shared" si="56"/>
        <v/>
      </c>
      <c r="AE58" s="288" t="str">
        <f t="shared" si="57"/>
        <v/>
      </c>
      <c r="AF58" s="288" t="str">
        <f t="shared" si="58"/>
        <v/>
      </c>
      <c r="AG58" s="288" t="str">
        <f t="shared" si="59"/>
        <v/>
      </c>
      <c r="AH58" s="288" t="str">
        <f t="shared" si="60"/>
        <v/>
      </c>
      <c r="AI58" s="36">
        <f t="shared" si="61"/>
        <v>-1</v>
      </c>
      <c r="AJ58" s="36">
        <f t="shared" si="62"/>
        <v>-1</v>
      </c>
      <c r="AK58" s="36">
        <f t="shared" si="63"/>
        <v>-1</v>
      </c>
      <c r="AL58" s="36"/>
      <c r="AM58" s="36" t="str">
        <f t="shared" si="9"/>
        <v/>
      </c>
      <c r="AN58" s="288" t="str">
        <f t="shared" si="64"/>
        <v/>
      </c>
      <c r="AO58" s="288" t="str">
        <f t="shared" si="65"/>
        <v/>
      </c>
      <c r="AP58" s="288" t="str">
        <f t="shared" si="66"/>
        <v/>
      </c>
      <c r="AQ58" s="36">
        <f t="shared" ref="AQ58:AS58" si="74">AQ57</f>
        <v>3.3793103448275866E-2</v>
      </c>
      <c r="AR58" s="36">
        <f t="shared" si="74"/>
        <v>5.9329425287356324E-2</v>
      </c>
      <c r="AS58" s="36">
        <f t="shared" si="74"/>
        <v>8.4865747126436797E-2</v>
      </c>
      <c r="AT58" s="288">
        <f t="shared" si="68"/>
        <v>0.11040206896551726</v>
      </c>
      <c r="AU58" s="36"/>
      <c r="AV58" s="36"/>
      <c r="AW58" s="36"/>
    </row>
    <row r="59" spans="2:49">
      <c r="B59" s="287"/>
      <c r="C59" s="707"/>
      <c r="D59" s="707"/>
      <c r="E59" s="707"/>
      <c r="F59" s="707"/>
      <c r="G59" s="707"/>
      <c r="H59" s="707"/>
      <c r="I59" s="707"/>
      <c r="J59" s="707"/>
      <c r="K59" s="707"/>
      <c r="L59" s="707"/>
      <c r="M59" s="707"/>
      <c r="N59" s="707"/>
      <c r="O59" s="707"/>
      <c r="P59" s="707"/>
      <c r="Q59" s="707"/>
      <c r="R59" s="707"/>
      <c r="S59" s="707"/>
      <c r="T59" s="707"/>
      <c r="U59" s="707"/>
      <c r="V59" s="707"/>
      <c r="W59" s="707"/>
      <c r="X59" s="707"/>
      <c r="Y59" s="707"/>
      <c r="Z59" s="707"/>
      <c r="AA59" s="36" t="str">
        <f t="shared" si="0"/>
        <v/>
      </c>
      <c r="AB59" s="288" t="str">
        <f t="shared" si="54"/>
        <v/>
      </c>
      <c r="AC59" s="288" t="str">
        <f t="shared" si="55"/>
        <v/>
      </c>
      <c r="AD59" s="288" t="str">
        <f t="shared" si="56"/>
        <v/>
      </c>
      <c r="AE59" s="288" t="str">
        <f t="shared" si="57"/>
        <v/>
      </c>
      <c r="AF59" s="288" t="str">
        <f t="shared" si="58"/>
        <v/>
      </c>
      <c r="AG59" s="288" t="str">
        <f t="shared" si="59"/>
        <v/>
      </c>
      <c r="AH59" s="288" t="str">
        <f t="shared" si="60"/>
        <v/>
      </c>
      <c r="AI59" s="36">
        <f t="shared" si="61"/>
        <v>-1</v>
      </c>
      <c r="AJ59" s="36">
        <f t="shared" si="62"/>
        <v>-1</v>
      </c>
      <c r="AK59" s="36">
        <f t="shared" si="63"/>
        <v>-1</v>
      </c>
      <c r="AL59" s="36"/>
      <c r="AM59" s="36" t="str">
        <f t="shared" si="9"/>
        <v/>
      </c>
      <c r="AN59" s="288" t="str">
        <f t="shared" si="64"/>
        <v/>
      </c>
      <c r="AO59" s="288" t="str">
        <f t="shared" si="65"/>
        <v/>
      </c>
      <c r="AP59" s="288" t="str">
        <f t="shared" si="66"/>
        <v/>
      </c>
      <c r="AQ59" s="36">
        <f t="shared" ref="AQ59:AS59" si="75">AQ58</f>
        <v>3.3793103448275866E-2</v>
      </c>
      <c r="AR59" s="36">
        <f t="shared" si="75"/>
        <v>5.9329425287356324E-2</v>
      </c>
      <c r="AS59" s="36">
        <f t="shared" si="75"/>
        <v>8.4865747126436797E-2</v>
      </c>
      <c r="AT59" s="288">
        <f t="shared" si="68"/>
        <v>0.11040206896551726</v>
      </c>
      <c r="AU59" s="36"/>
      <c r="AV59" s="36"/>
      <c r="AW59" s="36"/>
    </row>
    <row r="60" spans="2:49">
      <c r="B60" s="287"/>
      <c r="C60" s="707"/>
      <c r="D60" s="707"/>
      <c r="E60" s="707"/>
      <c r="F60" s="707"/>
      <c r="G60" s="707"/>
      <c r="H60" s="707"/>
      <c r="I60" s="707"/>
      <c r="J60" s="707"/>
      <c r="K60" s="707"/>
      <c r="L60" s="707"/>
      <c r="M60" s="707"/>
      <c r="N60" s="707"/>
      <c r="O60" s="707"/>
      <c r="P60" s="707"/>
      <c r="Q60" s="707"/>
      <c r="R60" s="707"/>
      <c r="S60" s="707"/>
      <c r="T60" s="707"/>
      <c r="U60" s="707"/>
      <c r="V60" s="707"/>
      <c r="W60" s="707"/>
      <c r="X60" s="707"/>
      <c r="Y60" s="707"/>
      <c r="Z60" s="707"/>
      <c r="AA60" s="36" t="str">
        <f t="shared" si="0"/>
        <v/>
      </c>
      <c r="AB60" s="288" t="str">
        <f t="shared" si="54"/>
        <v/>
      </c>
      <c r="AC60" s="288" t="str">
        <f t="shared" si="55"/>
        <v/>
      </c>
      <c r="AD60" s="288" t="str">
        <f t="shared" si="56"/>
        <v/>
      </c>
      <c r="AE60" s="288" t="str">
        <f t="shared" si="57"/>
        <v/>
      </c>
      <c r="AF60" s="288" t="str">
        <f t="shared" si="58"/>
        <v/>
      </c>
      <c r="AG60" s="288" t="str">
        <f t="shared" si="59"/>
        <v/>
      </c>
      <c r="AH60" s="288" t="str">
        <f t="shared" si="60"/>
        <v/>
      </c>
      <c r="AI60" s="36">
        <f t="shared" si="61"/>
        <v>-1</v>
      </c>
      <c r="AJ60" s="36">
        <f t="shared" si="62"/>
        <v>-1</v>
      </c>
      <c r="AK60" s="36">
        <f t="shared" si="63"/>
        <v>-1</v>
      </c>
      <c r="AL60" s="36"/>
      <c r="AM60" s="36" t="str">
        <f t="shared" si="9"/>
        <v/>
      </c>
      <c r="AN60" s="288" t="str">
        <f t="shared" si="64"/>
        <v/>
      </c>
      <c r="AO60" s="288" t="str">
        <f t="shared" si="65"/>
        <v/>
      </c>
      <c r="AP60" s="288" t="str">
        <f t="shared" si="66"/>
        <v/>
      </c>
      <c r="AQ60" s="36">
        <f t="shared" ref="AQ60:AS60" si="76">AQ59</f>
        <v>3.3793103448275866E-2</v>
      </c>
      <c r="AR60" s="36">
        <f t="shared" si="76"/>
        <v>5.9329425287356324E-2</v>
      </c>
      <c r="AS60" s="36">
        <f t="shared" si="76"/>
        <v>8.4865747126436797E-2</v>
      </c>
      <c r="AT60" s="288">
        <f t="shared" si="68"/>
        <v>0.11040206896551726</v>
      </c>
      <c r="AU60" s="36"/>
      <c r="AV60" s="36"/>
      <c r="AW60" s="36"/>
    </row>
    <row r="61" spans="2:49">
      <c r="B61" s="287"/>
      <c r="C61" s="707"/>
      <c r="D61" s="707"/>
      <c r="E61" s="707"/>
      <c r="F61" s="707"/>
      <c r="G61" s="707"/>
      <c r="H61" s="707"/>
      <c r="I61" s="707"/>
      <c r="J61" s="707"/>
      <c r="K61" s="707"/>
      <c r="L61" s="707"/>
      <c r="M61" s="707"/>
      <c r="N61" s="707"/>
      <c r="O61" s="707"/>
      <c r="P61" s="707"/>
      <c r="Q61" s="707"/>
      <c r="R61" s="707"/>
      <c r="S61" s="707"/>
      <c r="T61" s="707"/>
      <c r="U61" s="707"/>
      <c r="V61" s="707"/>
      <c r="W61" s="707"/>
      <c r="X61" s="707"/>
      <c r="Y61" s="707"/>
      <c r="Z61" s="707"/>
      <c r="AA61" s="36" t="str">
        <f t="shared" si="0"/>
        <v/>
      </c>
      <c r="AB61" s="288" t="str">
        <f t="shared" si="54"/>
        <v/>
      </c>
      <c r="AC61" s="288" t="str">
        <f t="shared" si="55"/>
        <v/>
      </c>
      <c r="AD61" s="288" t="str">
        <f t="shared" si="56"/>
        <v/>
      </c>
      <c r="AE61" s="288" t="str">
        <f t="shared" si="57"/>
        <v/>
      </c>
      <c r="AF61" s="288" t="str">
        <f t="shared" si="58"/>
        <v/>
      </c>
      <c r="AG61" s="288" t="str">
        <f t="shared" si="59"/>
        <v/>
      </c>
      <c r="AH61" s="288" t="str">
        <f t="shared" si="60"/>
        <v/>
      </c>
      <c r="AI61" s="36">
        <f t="shared" si="61"/>
        <v>-1</v>
      </c>
      <c r="AJ61" s="36">
        <f t="shared" si="62"/>
        <v>-1</v>
      </c>
      <c r="AK61" s="36">
        <f t="shared" si="63"/>
        <v>-1</v>
      </c>
      <c r="AL61" s="36"/>
      <c r="AM61" s="36" t="str">
        <f t="shared" si="9"/>
        <v/>
      </c>
      <c r="AN61" s="288" t="str">
        <f t="shared" si="64"/>
        <v/>
      </c>
      <c r="AO61" s="288" t="str">
        <f t="shared" si="65"/>
        <v/>
      </c>
      <c r="AP61" s="288" t="str">
        <f t="shared" si="66"/>
        <v/>
      </c>
      <c r="AQ61" s="36">
        <f t="shared" ref="AQ61:AS61" si="77">AQ60</f>
        <v>3.3793103448275866E-2</v>
      </c>
      <c r="AR61" s="36">
        <f t="shared" si="77"/>
        <v>5.9329425287356324E-2</v>
      </c>
      <c r="AS61" s="36">
        <f t="shared" si="77"/>
        <v>8.4865747126436797E-2</v>
      </c>
      <c r="AT61" s="288">
        <f t="shared" si="68"/>
        <v>0.11040206896551726</v>
      </c>
      <c r="AU61" s="36"/>
      <c r="AV61" s="36"/>
      <c r="AW61" s="36"/>
    </row>
    <row r="62" spans="2:49">
      <c r="B62" s="287"/>
      <c r="C62" s="707"/>
      <c r="D62" s="707"/>
      <c r="E62" s="707"/>
      <c r="F62" s="707"/>
      <c r="G62" s="707"/>
      <c r="H62" s="707"/>
      <c r="I62" s="707"/>
      <c r="J62" s="707"/>
      <c r="K62" s="707"/>
      <c r="L62" s="707"/>
      <c r="M62" s="707"/>
      <c r="N62" s="707"/>
      <c r="O62" s="707"/>
      <c r="P62" s="707"/>
      <c r="Q62" s="707"/>
      <c r="R62" s="707"/>
      <c r="S62" s="707"/>
      <c r="T62" s="707"/>
      <c r="U62" s="707"/>
      <c r="V62" s="707"/>
      <c r="W62" s="707"/>
      <c r="X62" s="707"/>
      <c r="Y62" s="707"/>
      <c r="Z62" s="707"/>
      <c r="AA62" s="36" t="str">
        <f t="shared" si="0"/>
        <v/>
      </c>
      <c r="AB62" s="288" t="str">
        <f t="shared" si="54"/>
        <v/>
      </c>
      <c r="AC62" s="288" t="str">
        <f t="shared" si="55"/>
        <v/>
      </c>
      <c r="AD62" s="288" t="str">
        <f t="shared" si="56"/>
        <v/>
      </c>
      <c r="AE62" s="288" t="str">
        <f t="shared" si="57"/>
        <v/>
      </c>
      <c r="AF62" s="288" t="str">
        <f t="shared" si="58"/>
        <v/>
      </c>
      <c r="AG62" s="288" t="str">
        <f t="shared" si="59"/>
        <v/>
      </c>
      <c r="AH62" s="288" t="str">
        <f t="shared" si="60"/>
        <v/>
      </c>
      <c r="AI62" s="36">
        <f t="shared" si="61"/>
        <v>-1</v>
      </c>
      <c r="AJ62" s="36">
        <f t="shared" si="62"/>
        <v>-1</v>
      </c>
      <c r="AK62" s="36">
        <f t="shared" si="63"/>
        <v>-1</v>
      </c>
      <c r="AL62" s="36"/>
      <c r="AM62" s="36" t="str">
        <f t="shared" si="9"/>
        <v/>
      </c>
      <c r="AN62" s="288" t="str">
        <f t="shared" si="64"/>
        <v/>
      </c>
      <c r="AO62" s="288" t="str">
        <f t="shared" si="65"/>
        <v/>
      </c>
      <c r="AP62" s="288" t="str">
        <f t="shared" si="66"/>
        <v/>
      </c>
      <c r="AQ62" s="36">
        <f t="shared" ref="AQ62:AS62" si="78">AQ61</f>
        <v>3.3793103448275866E-2</v>
      </c>
      <c r="AR62" s="36">
        <f t="shared" si="78"/>
        <v>5.9329425287356324E-2</v>
      </c>
      <c r="AS62" s="36">
        <f t="shared" si="78"/>
        <v>8.4865747126436797E-2</v>
      </c>
      <c r="AT62" s="288">
        <f t="shared" si="68"/>
        <v>0.11040206896551726</v>
      </c>
      <c r="AU62" s="36"/>
      <c r="AV62" s="36"/>
      <c r="AW62" s="36"/>
    </row>
    <row r="63" spans="2:49">
      <c r="B63" s="287"/>
      <c r="C63" s="707"/>
      <c r="D63" s="707"/>
      <c r="E63" s="707"/>
      <c r="F63" s="707"/>
      <c r="G63" s="707"/>
      <c r="H63" s="707"/>
      <c r="I63" s="707"/>
      <c r="J63" s="707"/>
      <c r="K63" s="707"/>
      <c r="L63" s="707"/>
      <c r="M63" s="707"/>
      <c r="N63" s="707"/>
      <c r="O63" s="707"/>
      <c r="P63" s="707"/>
      <c r="Q63" s="707"/>
      <c r="R63" s="707"/>
      <c r="S63" s="707"/>
      <c r="T63" s="707"/>
      <c r="U63" s="707"/>
      <c r="V63" s="707"/>
      <c r="W63" s="707"/>
      <c r="X63" s="707"/>
      <c r="Y63" s="707"/>
      <c r="Z63" s="707"/>
      <c r="AA63" s="36" t="str">
        <f t="shared" si="0"/>
        <v/>
      </c>
      <c r="AB63" s="288" t="str">
        <f t="shared" si="54"/>
        <v/>
      </c>
      <c r="AC63" s="288" t="str">
        <f t="shared" si="55"/>
        <v/>
      </c>
      <c r="AD63" s="288" t="str">
        <f t="shared" si="56"/>
        <v/>
      </c>
      <c r="AE63" s="288" t="str">
        <f t="shared" si="57"/>
        <v/>
      </c>
      <c r="AF63" s="288" t="str">
        <f t="shared" si="58"/>
        <v/>
      </c>
      <c r="AG63" s="288" t="str">
        <f t="shared" si="59"/>
        <v/>
      </c>
      <c r="AH63" s="288" t="str">
        <f t="shared" si="60"/>
        <v/>
      </c>
      <c r="AI63" s="36">
        <f t="shared" si="61"/>
        <v>-1</v>
      </c>
      <c r="AJ63" s="36">
        <f t="shared" si="62"/>
        <v>-1</v>
      </c>
      <c r="AK63" s="36">
        <f t="shared" si="63"/>
        <v>-1</v>
      </c>
      <c r="AL63" s="36"/>
      <c r="AM63" s="36" t="str">
        <f t="shared" si="9"/>
        <v/>
      </c>
      <c r="AN63" s="288" t="str">
        <f t="shared" si="64"/>
        <v/>
      </c>
      <c r="AO63" s="288" t="str">
        <f t="shared" si="65"/>
        <v/>
      </c>
      <c r="AP63" s="288" t="str">
        <f t="shared" si="66"/>
        <v/>
      </c>
      <c r="AQ63" s="36">
        <f t="shared" ref="AQ63:AS63" si="79">AQ62</f>
        <v>3.3793103448275866E-2</v>
      </c>
      <c r="AR63" s="36">
        <f t="shared" si="79"/>
        <v>5.9329425287356324E-2</v>
      </c>
      <c r="AS63" s="36">
        <f t="shared" si="79"/>
        <v>8.4865747126436797E-2</v>
      </c>
      <c r="AT63" s="288">
        <f t="shared" si="68"/>
        <v>0.11040206896551726</v>
      </c>
      <c r="AU63" s="36"/>
      <c r="AV63" s="36"/>
      <c r="AW63" s="36"/>
    </row>
    <row r="64" spans="2:49">
      <c r="B64" s="287"/>
      <c r="C64" s="707"/>
      <c r="D64" s="707"/>
      <c r="E64" s="707"/>
      <c r="F64" s="707"/>
      <c r="G64" s="707"/>
      <c r="H64" s="707"/>
      <c r="I64" s="707"/>
      <c r="J64" s="707"/>
      <c r="K64" s="707"/>
      <c r="L64" s="707"/>
      <c r="M64" s="707"/>
      <c r="N64" s="707"/>
      <c r="O64" s="707"/>
      <c r="P64" s="707"/>
      <c r="Q64" s="707"/>
      <c r="R64" s="707"/>
      <c r="S64" s="707"/>
      <c r="T64" s="707"/>
      <c r="U64" s="707"/>
      <c r="V64" s="707"/>
      <c r="W64" s="707"/>
      <c r="X64" s="707"/>
      <c r="Y64" s="707"/>
      <c r="Z64" s="707"/>
      <c r="AA64" s="36" t="str">
        <f t="shared" si="0"/>
        <v/>
      </c>
      <c r="AB64" s="288" t="str">
        <f t="shared" si="54"/>
        <v/>
      </c>
      <c r="AC64" s="288" t="str">
        <f t="shared" si="55"/>
        <v/>
      </c>
      <c r="AD64" s="288" t="str">
        <f t="shared" si="56"/>
        <v/>
      </c>
      <c r="AE64" s="288" t="str">
        <f t="shared" si="57"/>
        <v/>
      </c>
      <c r="AF64" s="288" t="str">
        <f t="shared" si="58"/>
        <v/>
      </c>
      <c r="AG64" s="288" t="str">
        <f t="shared" si="59"/>
        <v/>
      </c>
      <c r="AH64" s="288" t="str">
        <f t="shared" si="60"/>
        <v/>
      </c>
      <c r="AI64" s="36">
        <f t="shared" si="61"/>
        <v>-1</v>
      </c>
      <c r="AJ64" s="36">
        <f t="shared" si="62"/>
        <v>-1</v>
      </c>
      <c r="AK64" s="36">
        <f t="shared" si="63"/>
        <v>-1</v>
      </c>
      <c r="AL64" s="36"/>
      <c r="AM64" s="36" t="str">
        <f t="shared" si="9"/>
        <v/>
      </c>
      <c r="AN64" s="288" t="str">
        <f t="shared" si="64"/>
        <v/>
      </c>
      <c r="AO64" s="288" t="str">
        <f t="shared" si="65"/>
        <v/>
      </c>
      <c r="AP64" s="288" t="str">
        <f t="shared" si="66"/>
        <v/>
      </c>
      <c r="AQ64" s="36">
        <f t="shared" ref="AQ64:AS64" si="80">AQ63</f>
        <v>3.3793103448275866E-2</v>
      </c>
      <c r="AR64" s="36">
        <f t="shared" si="80"/>
        <v>5.9329425287356324E-2</v>
      </c>
      <c r="AS64" s="36">
        <f t="shared" si="80"/>
        <v>8.4865747126436797E-2</v>
      </c>
      <c r="AT64" s="288">
        <f t="shared" si="68"/>
        <v>0.11040206896551726</v>
      </c>
      <c r="AU64" s="36"/>
      <c r="AV64" s="36"/>
      <c r="AW64" s="36"/>
    </row>
    <row r="65" spans="2:49">
      <c r="B65" s="287"/>
      <c r="C65" s="707"/>
      <c r="D65" s="707"/>
      <c r="E65" s="707"/>
      <c r="F65" s="707"/>
      <c r="G65" s="707"/>
      <c r="H65" s="707"/>
      <c r="I65" s="707"/>
      <c r="J65" s="707"/>
      <c r="K65" s="707"/>
      <c r="L65" s="707"/>
      <c r="M65" s="707"/>
      <c r="N65" s="707"/>
      <c r="O65" s="707"/>
      <c r="P65" s="707"/>
      <c r="Q65" s="707"/>
      <c r="R65" s="707"/>
      <c r="S65" s="707"/>
      <c r="T65" s="707"/>
      <c r="U65" s="707"/>
      <c r="V65" s="707"/>
      <c r="W65" s="707"/>
      <c r="X65" s="707"/>
      <c r="Y65" s="707"/>
      <c r="Z65" s="707"/>
      <c r="AA65" s="36" t="str">
        <f t="shared" si="0"/>
        <v/>
      </c>
      <c r="AB65" s="288" t="str">
        <f t="shared" si="54"/>
        <v/>
      </c>
      <c r="AC65" s="288" t="str">
        <f t="shared" si="55"/>
        <v/>
      </c>
      <c r="AD65" s="288" t="str">
        <f t="shared" si="56"/>
        <v/>
      </c>
      <c r="AE65" s="288" t="str">
        <f t="shared" si="57"/>
        <v/>
      </c>
      <c r="AF65" s="288" t="str">
        <f t="shared" si="58"/>
        <v/>
      </c>
      <c r="AG65" s="288" t="str">
        <f t="shared" si="59"/>
        <v/>
      </c>
      <c r="AH65" s="288" t="str">
        <f t="shared" si="60"/>
        <v/>
      </c>
      <c r="AI65" s="36">
        <f t="shared" si="61"/>
        <v>-1</v>
      </c>
      <c r="AJ65" s="36">
        <f t="shared" si="62"/>
        <v>-1</v>
      </c>
      <c r="AK65" s="36">
        <f t="shared" si="63"/>
        <v>-1</v>
      </c>
      <c r="AL65" s="36"/>
      <c r="AM65" s="36" t="str">
        <f t="shared" si="9"/>
        <v/>
      </c>
      <c r="AN65" s="288" t="str">
        <f t="shared" si="64"/>
        <v/>
      </c>
      <c r="AO65" s="288" t="str">
        <f t="shared" si="65"/>
        <v/>
      </c>
      <c r="AP65" s="288" t="str">
        <f t="shared" si="66"/>
        <v/>
      </c>
      <c r="AQ65" s="36">
        <f t="shared" ref="AQ65:AS65" si="81">AQ64</f>
        <v>3.3793103448275866E-2</v>
      </c>
      <c r="AR65" s="36">
        <f t="shared" si="81"/>
        <v>5.9329425287356324E-2</v>
      </c>
      <c r="AS65" s="36">
        <f t="shared" si="81"/>
        <v>8.4865747126436797E-2</v>
      </c>
      <c r="AT65" s="288">
        <f t="shared" si="68"/>
        <v>0.11040206896551726</v>
      </c>
      <c r="AU65" s="36"/>
      <c r="AV65" s="36"/>
      <c r="AW65" s="36"/>
    </row>
    <row r="66" spans="2:49">
      <c r="B66" s="287"/>
      <c r="C66" s="707"/>
      <c r="D66" s="707"/>
      <c r="E66" s="707"/>
      <c r="F66" s="707"/>
      <c r="G66" s="707"/>
      <c r="H66" s="707"/>
      <c r="I66" s="707"/>
      <c r="J66" s="707"/>
      <c r="K66" s="707"/>
      <c r="L66" s="707"/>
      <c r="M66" s="707"/>
      <c r="N66" s="707"/>
      <c r="O66" s="707"/>
      <c r="P66" s="707"/>
      <c r="Q66" s="707"/>
      <c r="R66" s="707"/>
      <c r="S66" s="707"/>
      <c r="T66" s="707"/>
      <c r="U66" s="707"/>
      <c r="V66" s="707"/>
      <c r="W66" s="707"/>
      <c r="X66" s="707"/>
      <c r="Y66" s="707"/>
      <c r="Z66" s="707"/>
      <c r="AA66" s="36" t="str">
        <f t="shared" ref="AA66:AA129" si="82">IF(B66="","",B66)</f>
        <v/>
      </c>
      <c r="AB66" s="288" t="str">
        <f t="shared" si="54"/>
        <v/>
      </c>
      <c r="AC66" s="288" t="str">
        <f t="shared" si="55"/>
        <v/>
      </c>
      <c r="AD66" s="288" t="str">
        <f t="shared" si="56"/>
        <v/>
      </c>
      <c r="AE66" s="288" t="str">
        <f t="shared" si="57"/>
        <v/>
      </c>
      <c r="AF66" s="288" t="str">
        <f t="shared" si="58"/>
        <v/>
      </c>
      <c r="AG66" s="288" t="str">
        <f t="shared" si="59"/>
        <v/>
      </c>
      <c r="AH66" s="288" t="str">
        <f t="shared" si="60"/>
        <v/>
      </c>
      <c r="AI66" s="36">
        <f t="shared" si="61"/>
        <v>-1</v>
      </c>
      <c r="AJ66" s="36">
        <f t="shared" si="62"/>
        <v>-1</v>
      </c>
      <c r="AK66" s="36">
        <f t="shared" si="63"/>
        <v>-1</v>
      </c>
      <c r="AL66" s="36"/>
      <c r="AM66" s="36" t="str">
        <f t="shared" si="9"/>
        <v/>
      </c>
      <c r="AN66" s="288" t="str">
        <f t="shared" si="64"/>
        <v/>
      </c>
      <c r="AO66" s="288" t="str">
        <f t="shared" si="65"/>
        <v/>
      </c>
      <c r="AP66" s="288" t="str">
        <f t="shared" si="66"/>
        <v/>
      </c>
      <c r="AQ66" s="36">
        <f t="shared" ref="AQ66:AS66" si="83">AQ65</f>
        <v>3.3793103448275866E-2</v>
      </c>
      <c r="AR66" s="36">
        <f t="shared" si="83"/>
        <v>5.9329425287356324E-2</v>
      </c>
      <c r="AS66" s="36">
        <f t="shared" si="83"/>
        <v>8.4865747126436797E-2</v>
      </c>
      <c r="AT66" s="288">
        <f t="shared" si="68"/>
        <v>0.11040206896551726</v>
      </c>
      <c r="AU66" s="36"/>
      <c r="AV66" s="36"/>
      <c r="AW66" s="36"/>
    </row>
    <row r="67" spans="2:49">
      <c r="B67" s="287"/>
      <c r="C67" s="707"/>
      <c r="D67" s="707"/>
      <c r="E67" s="707"/>
      <c r="F67" s="707"/>
      <c r="G67" s="707"/>
      <c r="H67" s="707"/>
      <c r="I67" s="707"/>
      <c r="J67" s="707"/>
      <c r="K67" s="707"/>
      <c r="L67" s="707"/>
      <c r="M67" s="707"/>
      <c r="N67" s="707"/>
      <c r="O67" s="707"/>
      <c r="P67" s="707"/>
      <c r="Q67" s="707"/>
      <c r="R67" s="707"/>
      <c r="S67" s="707"/>
      <c r="T67" s="707"/>
      <c r="U67" s="707"/>
      <c r="V67" s="707"/>
      <c r="W67" s="707"/>
      <c r="X67" s="707"/>
      <c r="Y67" s="707"/>
      <c r="Z67" s="707"/>
      <c r="AA67" s="36" t="str">
        <f t="shared" si="82"/>
        <v/>
      </c>
      <c r="AB67" s="288" t="str">
        <f t="shared" si="54"/>
        <v/>
      </c>
      <c r="AC67" s="288" t="str">
        <f t="shared" si="55"/>
        <v/>
      </c>
      <c r="AD67" s="288" t="str">
        <f t="shared" si="56"/>
        <v/>
      </c>
      <c r="AE67" s="288" t="str">
        <f t="shared" si="57"/>
        <v/>
      </c>
      <c r="AF67" s="288" t="str">
        <f t="shared" si="58"/>
        <v/>
      </c>
      <c r="AG67" s="288" t="str">
        <f t="shared" si="59"/>
        <v/>
      </c>
      <c r="AH67" s="288" t="str">
        <f t="shared" si="60"/>
        <v/>
      </c>
      <c r="AI67" s="36">
        <f t="shared" si="61"/>
        <v>-1</v>
      </c>
      <c r="AJ67" s="36">
        <f t="shared" si="62"/>
        <v>-1</v>
      </c>
      <c r="AK67" s="36">
        <f t="shared" si="63"/>
        <v>-1</v>
      </c>
      <c r="AL67" s="36"/>
      <c r="AM67" s="36" t="str">
        <f t="shared" ref="AM67:AM130" si="84">IF(B67="", "", ABS(B67-B66))</f>
        <v/>
      </c>
      <c r="AN67" s="288" t="str">
        <f t="shared" si="64"/>
        <v/>
      </c>
      <c r="AO67" s="288" t="str">
        <f t="shared" si="65"/>
        <v/>
      </c>
      <c r="AP67" s="288" t="str">
        <f t="shared" si="66"/>
        <v/>
      </c>
      <c r="AQ67" s="36">
        <f t="shared" ref="AQ67:AS67" si="85">AQ66</f>
        <v>3.3793103448275866E-2</v>
      </c>
      <c r="AR67" s="36">
        <f t="shared" si="85"/>
        <v>5.9329425287356324E-2</v>
      </c>
      <c r="AS67" s="36">
        <f t="shared" si="85"/>
        <v>8.4865747126436797E-2</v>
      </c>
      <c r="AT67" s="288">
        <f t="shared" si="68"/>
        <v>0.11040206896551726</v>
      </c>
      <c r="AU67" s="36"/>
      <c r="AV67" s="36"/>
      <c r="AW67" s="36"/>
    </row>
    <row r="68" spans="2:49">
      <c r="B68" s="287"/>
      <c r="C68" s="707"/>
      <c r="D68" s="707"/>
      <c r="E68" s="707"/>
      <c r="F68" s="707"/>
      <c r="G68" s="707"/>
      <c r="H68" s="707"/>
      <c r="I68" s="707"/>
      <c r="J68" s="707"/>
      <c r="K68" s="707"/>
      <c r="L68" s="707"/>
      <c r="M68" s="707"/>
      <c r="N68" s="707"/>
      <c r="O68" s="707"/>
      <c r="P68" s="707"/>
      <c r="Q68" s="707"/>
      <c r="R68" s="707"/>
      <c r="S68" s="707"/>
      <c r="T68" s="707"/>
      <c r="U68" s="707"/>
      <c r="V68" s="707"/>
      <c r="W68" s="707"/>
      <c r="X68" s="707"/>
      <c r="Y68" s="707"/>
      <c r="Z68" s="707"/>
      <c r="AA68" s="36" t="str">
        <f t="shared" si="82"/>
        <v/>
      </c>
      <c r="AB68" s="288" t="str">
        <f t="shared" si="54"/>
        <v/>
      </c>
      <c r="AC68" s="288" t="str">
        <f t="shared" si="55"/>
        <v/>
      </c>
      <c r="AD68" s="288" t="str">
        <f t="shared" si="56"/>
        <v/>
      </c>
      <c r="AE68" s="288" t="str">
        <f t="shared" si="57"/>
        <v/>
      </c>
      <c r="AF68" s="288" t="str">
        <f t="shared" si="58"/>
        <v/>
      </c>
      <c r="AG68" s="288" t="str">
        <f t="shared" si="59"/>
        <v/>
      </c>
      <c r="AH68" s="288" t="str">
        <f t="shared" si="60"/>
        <v/>
      </c>
      <c r="AI68" s="36">
        <f t="shared" si="61"/>
        <v>-1</v>
      </c>
      <c r="AJ68" s="36">
        <f t="shared" si="62"/>
        <v>-1</v>
      </c>
      <c r="AK68" s="36">
        <f t="shared" si="63"/>
        <v>-1</v>
      </c>
      <c r="AL68" s="36"/>
      <c r="AM68" s="36" t="str">
        <f t="shared" si="84"/>
        <v/>
      </c>
      <c r="AN68" s="288" t="str">
        <f t="shared" si="64"/>
        <v/>
      </c>
      <c r="AO68" s="288" t="str">
        <f t="shared" si="65"/>
        <v/>
      </c>
      <c r="AP68" s="288" t="str">
        <f t="shared" si="66"/>
        <v/>
      </c>
      <c r="AQ68" s="36">
        <f t="shared" ref="AQ68:AS68" si="86">AQ67</f>
        <v>3.3793103448275866E-2</v>
      </c>
      <c r="AR68" s="36">
        <f t="shared" si="86"/>
        <v>5.9329425287356324E-2</v>
      </c>
      <c r="AS68" s="36">
        <f t="shared" si="86"/>
        <v>8.4865747126436797E-2</v>
      </c>
      <c r="AT68" s="288">
        <f t="shared" si="68"/>
        <v>0.11040206896551726</v>
      </c>
      <c r="AU68" s="36"/>
      <c r="AV68" s="36"/>
      <c r="AW68" s="36"/>
    </row>
    <row r="69" spans="2:49">
      <c r="B69" s="287"/>
      <c r="C69" s="707"/>
      <c r="D69" s="707"/>
      <c r="E69" s="707"/>
      <c r="F69" s="707"/>
      <c r="G69" s="707"/>
      <c r="H69" s="707"/>
      <c r="I69" s="707"/>
      <c r="J69" s="707"/>
      <c r="K69" s="707"/>
      <c r="L69" s="707"/>
      <c r="M69" s="707"/>
      <c r="N69" s="707"/>
      <c r="O69" s="707"/>
      <c r="P69" s="707"/>
      <c r="Q69" s="707"/>
      <c r="R69" s="707"/>
      <c r="S69" s="707"/>
      <c r="T69" s="707"/>
      <c r="U69" s="707"/>
      <c r="V69" s="707"/>
      <c r="W69" s="707"/>
      <c r="X69" s="707"/>
      <c r="Y69" s="707"/>
      <c r="Z69" s="707"/>
      <c r="AA69" s="36" t="str">
        <f t="shared" si="82"/>
        <v/>
      </c>
      <c r="AB69" s="288" t="str">
        <f t="shared" si="54"/>
        <v/>
      </c>
      <c r="AC69" s="288" t="str">
        <f t="shared" si="55"/>
        <v/>
      </c>
      <c r="AD69" s="288" t="str">
        <f t="shared" si="56"/>
        <v/>
      </c>
      <c r="AE69" s="288" t="str">
        <f t="shared" si="57"/>
        <v/>
      </c>
      <c r="AF69" s="288" t="str">
        <f t="shared" si="58"/>
        <v/>
      </c>
      <c r="AG69" s="288" t="str">
        <f t="shared" si="59"/>
        <v/>
      </c>
      <c r="AH69" s="288" t="str">
        <f t="shared" si="60"/>
        <v/>
      </c>
      <c r="AI69" s="36">
        <f t="shared" si="61"/>
        <v>-1</v>
      </c>
      <c r="AJ69" s="36">
        <f t="shared" si="62"/>
        <v>-1</v>
      </c>
      <c r="AK69" s="36">
        <f t="shared" si="63"/>
        <v>-1</v>
      </c>
      <c r="AL69" s="36"/>
      <c r="AM69" s="36" t="str">
        <f t="shared" si="84"/>
        <v/>
      </c>
      <c r="AN69" s="288" t="str">
        <f t="shared" si="64"/>
        <v/>
      </c>
      <c r="AO69" s="288" t="str">
        <f t="shared" si="65"/>
        <v/>
      </c>
      <c r="AP69" s="288" t="str">
        <f t="shared" si="66"/>
        <v/>
      </c>
      <c r="AQ69" s="36">
        <f t="shared" ref="AQ69:AS69" si="87">AQ68</f>
        <v>3.3793103448275866E-2</v>
      </c>
      <c r="AR69" s="36">
        <f t="shared" si="87"/>
        <v>5.9329425287356324E-2</v>
      </c>
      <c r="AS69" s="36">
        <f t="shared" si="87"/>
        <v>8.4865747126436797E-2</v>
      </c>
      <c r="AT69" s="288">
        <f t="shared" si="68"/>
        <v>0.11040206896551726</v>
      </c>
      <c r="AU69" s="36"/>
      <c r="AV69" s="36"/>
      <c r="AW69" s="36"/>
    </row>
    <row r="70" spans="2:49">
      <c r="B70" s="287"/>
      <c r="C70" s="707"/>
      <c r="D70" s="707"/>
      <c r="E70" s="707"/>
      <c r="F70" s="707"/>
      <c r="G70" s="707"/>
      <c r="H70" s="707"/>
      <c r="I70" s="707"/>
      <c r="J70" s="707"/>
      <c r="K70" s="707"/>
      <c r="L70" s="707"/>
      <c r="M70" s="707"/>
      <c r="N70" s="707"/>
      <c r="O70" s="707"/>
      <c r="P70" s="707"/>
      <c r="Q70" s="707"/>
      <c r="R70" s="707"/>
      <c r="S70" s="707"/>
      <c r="T70" s="707"/>
      <c r="U70" s="707"/>
      <c r="V70" s="707"/>
      <c r="W70" s="707"/>
      <c r="X70" s="707"/>
      <c r="Y70" s="707"/>
      <c r="Z70" s="707"/>
      <c r="AA70" s="36" t="str">
        <f t="shared" si="82"/>
        <v/>
      </c>
      <c r="AB70" s="288" t="str">
        <f t="shared" si="54"/>
        <v/>
      </c>
      <c r="AC70" s="288" t="str">
        <f t="shared" si="55"/>
        <v/>
      </c>
      <c r="AD70" s="288" t="str">
        <f t="shared" si="56"/>
        <v/>
      </c>
      <c r="AE70" s="288" t="str">
        <f t="shared" si="57"/>
        <v/>
      </c>
      <c r="AF70" s="288" t="str">
        <f t="shared" si="58"/>
        <v/>
      </c>
      <c r="AG70" s="288" t="str">
        <f t="shared" si="59"/>
        <v/>
      </c>
      <c r="AH70" s="288" t="str">
        <f t="shared" si="60"/>
        <v/>
      </c>
      <c r="AI70" s="36">
        <f t="shared" si="61"/>
        <v>-1</v>
      </c>
      <c r="AJ70" s="36">
        <f t="shared" si="62"/>
        <v>-1</v>
      </c>
      <c r="AK70" s="36">
        <f t="shared" si="63"/>
        <v>-1</v>
      </c>
      <c r="AL70" s="36"/>
      <c r="AM70" s="36" t="str">
        <f t="shared" si="84"/>
        <v/>
      </c>
      <c r="AN70" s="288" t="str">
        <f t="shared" si="64"/>
        <v/>
      </c>
      <c r="AO70" s="288" t="str">
        <f t="shared" si="65"/>
        <v/>
      </c>
      <c r="AP70" s="288" t="str">
        <f t="shared" si="66"/>
        <v/>
      </c>
      <c r="AQ70" s="36">
        <f t="shared" ref="AQ70:AS70" si="88">AQ69</f>
        <v>3.3793103448275866E-2</v>
      </c>
      <c r="AR70" s="36">
        <f t="shared" si="88"/>
        <v>5.9329425287356324E-2</v>
      </c>
      <c r="AS70" s="36">
        <f t="shared" si="88"/>
        <v>8.4865747126436797E-2</v>
      </c>
      <c r="AT70" s="288">
        <f t="shared" si="68"/>
        <v>0.11040206896551726</v>
      </c>
      <c r="AU70" s="36"/>
      <c r="AV70" s="36"/>
      <c r="AW70" s="36"/>
    </row>
    <row r="71" spans="2:49">
      <c r="B71" s="287"/>
      <c r="C71" s="707"/>
      <c r="D71" s="707"/>
      <c r="E71" s="707"/>
      <c r="F71" s="707"/>
      <c r="G71" s="707"/>
      <c r="H71" s="707"/>
      <c r="I71" s="707"/>
      <c r="J71" s="707"/>
      <c r="K71" s="707"/>
      <c r="L71" s="707"/>
      <c r="M71" s="707"/>
      <c r="N71" s="707"/>
      <c r="O71" s="707"/>
      <c r="P71" s="707"/>
      <c r="Q71" s="707"/>
      <c r="R71" s="707"/>
      <c r="S71" s="707"/>
      <c r="T71" s="707"/>
      <c r="U71" s="707"/>
      <c r="V71" s="707"/>
      <c r="W71" s="707"/>
      <c r="X71" s="707"/>
      <c r="Y71" s="707"/>
      <c r="Z71" s="707"/>
      <c r="AA71" s="36" t="str">
        <f t="shared" si="82"/>
        <v/>
      </c>
      <c r="AB71" s="288" t="str">
        <f t="shared" si="54"/>
        <v/>
      </c>
      <c r="AC71" s="288" t="str">
        <f t="shared" si="55"/>
        <v/>
      </c>
      <c r="AD71" s="288" t="str">
        <f t="shared" si="56"/>
        <v/>
      </c>
      <c r="AE71" s="288" t="str">
        <f t="shared" si="57"/>
        <v/>
      </c>
      <c r="AF71" s="288" t="str">
        <f t="shared" si="58"/>
        <v/>
      </c>
      <c r="AG71" s="288" t="str">
        <f t="shared" si="59"/>
        <v/>
      </c>
      <c r="AH71" s="288" t="str">
        <f t="shared" si="60"/>
        <v/>
      </c>
      <c r="AI71" s="36">
        <f t="shared" si="61"/>
        <v>-1</v>
      </c>
      <c r="AJ71" s="36">
        <f t="shared" si="62"/>
        <v>-1</v>
      </c>
      <c r="AK71" s="36">
        <f t="shared" si="63"/>
        <v>-1</v>
      </c>
      <c r="AL71" s="36"/>
      <c r="AM71" s="36" t="str">
        <f t="shared" si="84"/>
        <v/>
      </c>
      <c r="AN71" s="288" t="str">
        <f t="shared" si="64"/>
        <v/>
      </c>
      <c r="AO71" s="288" t="str">
        <f t="shared" si="65"/>
        <v/>
      </c>
      <c r="AP71" s="288" t="str">
        <f t="shared" si="66"/>
        <v/>
      </c>
      <c r="AQ71" s="36">
        <f t="shared" ref="AQ71:AS71" si="89">AQ70</f>
        <v>3.3793103448275866E-2</v>
      </c>
      <c r="AR71" s="36">
        <f t="shared" si="89"/>
        <v>5.9329425287356324E-2</v>
      </c>
      <c r="AS71" s="36">
        <f t="shared" si="89"/>
        <v>8.4865747126436797E-2</v>
      </c>
      <c r="AT71" s="288">
        <f t="shared" si="68"/>
        <v>0.11040206896551726</v>
      </c>
      <c r="AU71" s="707"/>
      <c r="AV71" s="707"/>
      <c r="AW71" s="707"/>
    </row>
    <row r="72" spans="2:49">
      <c r="B72" s="287"/>
      <c r="C72" s="707"/>
      <c r="D72" s="707"/>
      <c r="E72" s="707"/>
      <c r="F72" s="707"/>
      <c r="G72" s="707"/>
      <c r="H72" s="707"/>
      <c r="I72" s="707"/>
      <c r="J72" s="707"/>
      <c r="K72" s="707"/>
      <c r="L72" s="707"/>
      <c r="M72" s="707"/>
      <c r="N72" s="707"/>
      <c r="O72" s="707"/>
      <c r="P72" s="707"/>
      <c r="Q72" s="707"/>
      <c r="R72" s="707"/>
      <c r="S72" s="707"/>
      <c r="T72" s="707"/>
      <c r="U72" s="707"/>
      <c r="V72" s="707"/>
      <c r="W72" s="707"/>
      <c r="X72" s="707"/>
      <c r="Y72" s="707"/>
      <c r="Z72" s="707"/>
      <c r="AA72" s="36" t="str">
        <f t="shared" si="82"/>
        <v/>
      </c>
      <c r="AB72" s="288" t="str">
        <f t="shared" si="54"/>
        <v/>
      </c>
      <c r="AC72" s="288" t="str">
        <f t="shared" si="55"/>
        <v/>
      </c>
      <c r="AD72" s="288" t="str">
        <f t="shared" si="56"/>
        <v/>
      </c>
      <c r="AE72" s="288" t="str">
        <f t="shared" si="57"/>
        <v/>
      </c>
      <c r="AF72" s="288" t="str">
        <f t="shared" si="58"/>
        <v/>
      </c>
      <c r="AG72" s="288" t="str">
        <f t="shared" si="59"/>
        <v/>
      </c>
      <c r="AH72" s="288" t="str">
        <f t="shared" si="60"/>
        <v/>
      </c>
      <c r="AI72" s="36">
        <f t="shared" si="61"/>
        <v>-1</v>
      </c>
      <c r="AJ72" s="36">
        <f t="shared" si="62"/>
        <v>-1</v>
      </c>
      <c r="AK72" s="36">
        <f t="shared" si="63"/>
        <v>-1</v>
      </c>
      <c r="AL72" s="36"/>
      <c r="AM72" s="36" t="str">
        <f t="shared" si="84"/>
        <v/>
      </c>
      <c r="AN72" s="288" t="str">
        <f t="shared" si="64"/>
        <v/>
      </c>
      <c r="AO72" s="288" t="str">
        <f t="shared" si="65"/>
        <v/>
      </c>
      <c r="AP72" s="288" t="str">
        <f t="shared" si="66"/>
        <v/>
      </c>
      <c r="AQ72" s="36">
        <f t="shared" ref="AQ72:AS72" si="90">AQ71</f>
        <v>3.3793103448275866E-2</v>
      </c>
      <c r="AR72" s="36">
        <f t="shared" si="90"/>
        <v>5.9329425287356324E-2</v>
      </c>
      <c r="AS72" s="36">
        <f t="shared" si="90"/>
        <v>8.4865747126436797E-2</v>
      </c>
      <c r="AT72" s="288">
        <f t="shared" si="68"/>
        <v>0.11040206896551726</v>
      </c>
      <c r="AU72" s="707"/>
      <c r="AV72" s="707"/>
      <c r="AW72" s="707"/>
    </row>
    <row r="73" spans="2:49">
      <c r="B73" s="287"/>
      <c r="C73" s="707"/>
      <c r="D73" s="707"/>
      <c r="E73" s="707"/>
      <c r="F73" s="707"/>
      <c r="G73" s="707"/>
      <c r="H73" s="707"/>
      <c r="I73" s="707"/>
      <c r="J73" s="707"/>
      <c r="K73" s="707"/>
      <c r="L73" s="707"/>
      <c r="M73" s="707"/>
      <c r="N73" s="707"/>
      <c r="O73" s="707"/>
      <c r="P73" s="707"/>
      <c r="Q73" s="707"/>
      <c r="R73" s="707"/>
      <c r="S73" s="707"/>
      <c r="T73" s="707"/>
      <c r="U73" s="707"/>
      <c r="V73" s="707"/>
      <c r="W73" s="707"/>
      <c r="X73" s="707"/>
      <c r="Y73" s="707"/>
      <c r="Z73" s="707"/>
      <c r="AA73" s="36" t="str">
        <f t="shared" si="82"/>
        <v/>
      </c>
      <c r="AB73" s="288" t="str">
        <f t="shared" si="54"/>
        <v/>
      </c>
      <c r="AC73" s="288" t="str">
        <f t="shared" si="55"/>
        <v/>
      </c>
      <c r="AD73" s="288" t="str">
        <f t="shared" si="56"/>
        <v/>
      </c>
      <c r="AE73" s="288" t="str">
        <f t="shared" si="57"/>
        <v/>
      </c>
      <c r="AF73" s="288" t="str">
        <f t="shared" si="58"/>
        <v/>
      </c>
      <c r="AG73" s="288" t="str">
        <f t="shared" si="59"/>
        <v/>
      </c>
      <c r="AH73" s="288" t="str">
        <f t="shared" si="60"/>
        <v/>
      </c>
      <c r="AI73" s="36">
        <f t="shared" si="61"/>
        <v>-1</v>
      </c>
      <c r="AJ73" s="36">
        <f t="shared" si="62"/>
        <v>-1</v>
      </c>
      <c r="AK73" s="36">
        <f t="shared" si="63"/>
        <v>-1</v>
      </c>
      <c r="AL73" s="36"/>
      <c r="AM73" s="36" t="str">
        <f t="shared" si="84"/>
        <v/>
      </c>
      <c r="AN73" s="288" t="str">
        <f t="shared" si="64"/>
        <v/>
      </c>
      <c r="AO73" s="288" t="str">
        <f t="shared" si="65"/>
        <v/>
      </c>
      <c r="AP73" s="288" t="str">
        <f t="shared" si="66"/>
        <v/>
      </c>
      <c r="AQ73" s="36">
        <f t="shared" ref="AQ73:AS73" si="91">AQ72</f>
        <v>3.3793103448275866E-2</v>
      </c>
      <c r="AR73" s="36">
        <f t="shared" si="91"/>
        <v>5.9329425287356324E-2</v>
      </c>
      <c r="AS73" s="36">
        <f t="shared" si="91"/>
        <v>8.4865747126436797E-2</v>
      </c>
      <c r="AT73" s="288">
        <f t="shared" si="68"/>
        <v>0.11040206896551726</v>
      </c>
      <c r="AU73" s="707"/>
      <c r="AV73" s="707"/>
      <c r="AW73" s="707"/>
    </row>
    <row r="74" spans="2:49">
      <c r="B74" s="287"/>
      <c r="C74" s="707"/>
      <c r="D74" s="707"/>
      <c r="E74" s="707"/>
      <c r="F74" s="707"/>
      <c r="G74" s="707"/>
      <c r="H74" s="707"/>
      <c r="I74" s="707"/>
      <c r="J74" s="707"/>
      <c r="K74" s="707"/>
      <c r="L74" s="707"/>
      <c r="M74" s="707"/>
      <c r="N74" s="707"/>
      <c r="O74" s="707"/>
      <c r="P74" s="707"/>
      <c r="Q74" s="707"/>
      <c r="R74" s="707"/>
      <c r="S74" s="707"/>
      <c r="T74" s="707"/>
      <c r="U74" s="707"/>
      <c r="V74" s="707"/>
      <c r="W74" s="707"/>
      <c r="X74" s="707"/>
      <c r="Y74" s="707"/>
      <c r="Z74" s="707"/>
      <c r="AA74" s="36" t="str">
        <f t="shared" si="82"/>
        <v/>
      </c>
      <c r="AB74" s="288" t="str">
        <f t="shared" si="54"/>
        <v/>
      </c>
      <c r="AC74" s="288" t="str">
        <f t="shared" si="55"/>
        <v/>
      </c>
      <c r="AD74" s="288" t="str">
        <f t="shared" si="56"/>
        <v/>
      </c>
      <c r="AE74" s="288" t="str">
        <f t="shared" si="57"/>
        <v/>
      </c>
      <c r="AF74" s="288" t="str">
        <f t="shared" si="58"/>
        <v/>
      </c>
      <c r="AG74" s="288" t="str">
        <f t="shared" si="59"/>
        <v/>
      </c>
      <c r="AH74" s="288" t="str">
        <f t="shared" si="60"/>
        <v/>
      </c>
      <c r="AI74" s="36">
        <f t="shared" si="61"/>
        <v>-1</v>
      </c>
      <c r="AJ74" s="36">
        <f t="shared" si="62"/>
        <v>-1</v>
      </c>
      <c r="AK74" s="36">
        <f t="shared" si="63"/>
        <v>-1</v>
      </c>
      <c r="AL74" s="36"/>
      <c r="AM74" s="36" t="str">
        <f t="shared" si="84"/>
        <v/>
      </c>
      <c r="AN74" s="288" t="str">
        <f t="shared" si="64"/>
        <v/>
      </c>
      <c r="AO74" s="288" t="str">
        <f t="shared" si="65"/>
        <v/>
      </c>
      <c r="AP74" s="288" t="str">
        <f t="shared" si="66"/>
        <v/>
      </c>
      <c r="AQ74" s="36">
        <f t="shared" ref="AQ74:AS74" si="92">AQ73</f>
        <v>3.3793103448275866E-2</v>
      </c>
      <c r="AR74" s="36">
        <f t="shared" si="92"/>
        <v>5.9329425287356324E-2</v>
      </c>
      <c r="AS74" s="36">
        <f t="shared" si="92"/>
        <v>8.4865747126436797E-2</v>
      </c>
      <c r="AT74" s="288">
        <f t="shared" si="68"/>
        <v>0.11040206896551726</v>
      </c>
      <c r="AU74" s="707"/>
      <c r="AV74" s="707"/>
      <c r="AW74" s="707"/>
    </row>
    <row r="75" spans="2:49">
      <c r="B75" s="287"/>
      <c r="C75" s="707"/>
      <c r="D75" s="707"/>
      <c r="E75" s="707"/>
      <c r="F75" s="707"/>
      <c r="G75" s="707"/>
      <c r="H75" s="707"/>
      <c r="I75" s="707"/>
      <c r="J75" s="707"/>
      <c r="K75" s="707"/>
      <c r="L75" s="707"/>
      <c r="M75" s="707"/>
      <c r="N75" s="707"/>
      <c r="O75" s="707"/>
      <c r="P75" s="707"/>
      <c r="Q75" s="707"/>
      <c r="R75" s="707"/>
      <c r="S75" s="707"/>
      <c r="T75" s="707"/>
      <c r="U75" s="707"/>
      <c r="V75" s="707"/>
      <c r="W75" s="707"/>
      <c r="X75" s="707"/>
      <c r="Y75" s="707"/>
      <c r="Z75" s="707"/>
      <c r="AA75" s="36" t="str">
        <f t="shared" si="82"/>
        <v/>
      </c>
      <c r="AB75" s="288" t="str">
        <f t="shared" si="54"/>
        <v/>
      </c>
      <c r="AC75" s="288" t="str">
        <f t="shared" si="55"/>
        <v/>
      </c>
      <c r="AD75" s="288" t="str">
        <f t="shared" si="56"/>
        <v/>
      </c>
      <c r="AE75" s="288" t="str">
        <f t="shared" si="57"/>
        <v/>
      </c>
      <c r="AF75" s="288" t="str">
        <f t="shared" si="58"/>
        <v/>
      </c>
      <c r="AG75" s="288" t="str">
        <f t="shared" si="59"/>
        <v/>
      </c>
      <c r="AH75" s="288" t="str">
        <f t="shared" si="60"/>
        <v/>
      </c>
      <c r="AI75" s="36">
        <f t="shared" si="61"/>
        <v>-1</v>
      </c>
      <c r="AJ75" s="36">
        <f t="shared" si="62"/>
        <v>-1</v>
      </c>
      <c r="AK75" s="36">
        <f t="shared" si="63"/>
        <v>-1</v>
      </c>
      <c r="AL75" s="36"/>
      <c r="AM75" s="36" t="str">
        <f t="shared" si="84"/>
        <v/>
      </c>
      <c r="AN75" s="288" t="str">
        <f t="shared" si="64"/>
        <v/>
      </c>
      <c r="AO75" s="288" t="str">
        <f t="shared" si="65"/>
        <v/>
      </c>
      <c r="AP75" s="288" t="str">
        <f t="shared" si="66"/>
        <v/>
      </c>
      <c r="AQ75" s="36">
        <f t="shared" ref="AQ75:AS75" si="93">AQ74</f>
        <v>3.3793103448275866E-2</v>
      </c>
      <c r="AR75" s="36">
        <f t="shared" si="93"/>
        <v>5.9329425287356324E-2</v>
      </c>
      <c r="AS75" s="36">
        <f t="shared" si="93"/>
        <v>8.4865747126436797E-2</v>
      </c>
      <c r="AT75" s="288">
        <f t="shared" si="68"/>
        <v>0.11040206896551726</v>
      </c>
      <c r="AU75" s="707"/>
      <c r="AV75" s="707"/>
      <c r="AW75" s="707"/>
    </row>
    <row r="76" spans="2:49">
      <c r="B76" s="287"/>
      <c r="C76" s="707"/>
      <c r="D76" s="707"/>
      <c r="E76" s="707"/>
      <c r="F76" s="707"/>
      <c r="G76" s="707"/>
      <c r="H76" s="707"/>
      <c r="I76" s="707"/>
      <c r="J76" s="707"/>
      <c r="K76" s="707"/>
      <c r="L76" s="707"/>
      <c r="M76" s="707"/>
      <c r="N76" s="707"/>
      <c r="O76" s="707"/>
      <c r="P76" s="707"/>
      <c r="Q76" s="707"/>
      <c r="R76" s="707"/>
      <c r="S76" s="707"/>
      <c r="T76" s="707"/>
      <c r="U76" s="707"/>
      <c r="V76" s="707"/>
      <c r="W76" s="707"/>
      <c r="X76" s="707"/>
      <c r="Y76" s="707"/>
      <c r="Z76" s="707"/>
      <c r="AA76" s="36" t="str">
        <f t="shared" si="82"/>
        <v/>
      </c>
      <c r="AB76" s="288" t="str">
        <f t="shared" si="54"/>
        <v/>
      </c>
      <c r="AC76" s="288" t="str">
        <f t="shared" si="55"/>
        <v/>
      </c>
      <c r="AD76" s="288" t="str">
        <f t="shared" si="56"/>
        <v/>
      </c>
      <c r="AE76" s="288" t="str">
        <f t="shared" si="57"/>
        <v/>
      </c>
      <c r="AF76" s="288" t="str">
        <f t="shared" si="58"/>
        <v/>
      </c>
      <c r="AG76" s="288" t="str">
        <f t="shared" si="59"/>
        <v/>
      </c>
      <c r="AH76" s="288" t="str">
        <f t="shared" si="60"/>
        <v/>
      </c>
      <c r="AI76" s="36">
        <f t="shared" si="61"/>
        <v>-1</v>
      </c>
      <c r="AJ76" s="36">
        <f t="shared" si="62"/>
        <v>-1</v>
      </c>
      <c r="AK76" s="36">
        <f t="shared" si="63"/>
        <v>-1</v>
      </c>
      <c r="AL76" s="36"/>
      <c r="AM76" s="36" t="str">
        <f t="shared" si="84"/>
        <v/>
      </c>
      <c r="AN76" s="288" t="str">
        <f t="shared" si="64"/>
        <v/>
      </c>
      <c r="AO76" s="288" t="str">
        <f t="shared" si="65"/>
        <v/>
      </c>
      <c r="AP76" s="288" t="str">
        <f t="shared" si="66"/>
        <v/>
      </c>
      <c r="AQ76" s="36">
        <f t="shared" ref="AQ76:AS76" si="94">AQ75</f>
        <v>3.3793103448275866E-2</v>
      </c>
      <c r="AR76" s="36">
        <f t="shared" si="94"/>
        <v>5.9329425287356324E-2</v>
      </c>
      <c r="AS76" s="36">
        <f t="shared" si="94"/>
        <v>8.4865747126436797E-2</v>
      </c>
      <c r="AT76" s="288">
        <f t="shared" si="68"/>
        <v>0.11040206896551726</v>
      </c>
      <c r="AU76" s="707"/>
      <c r="AV76" s="707"/>
      <c r="AW76" s="707"/>
    </row>
    <row r="77" spans="2:49">
      <c r="B77" s="287"/>
      <c r="C77" s="707"/>
      <c r="D77" s="707"/>
      <c r="E77" s="707"/>
      <c r="F77" s="707"/>
      <c r="G77" s="707"/>
      <c r="H77" s="707"/>
      <c r="I77" s="707"/>
      <c r="J77" s="707"/>
      <c r="K77" s="707"/>
      <c r="L77" s="707"/>
      <c r="M77" s="707"/>
      <c r="N77" s="707"/>
      <c r="O77" s="707"/>
      <c r="P77" s="707"/>
      <c r="Q77" s="707"/>
      <c r="R77" s="707"/>
      <c r="S77" s="707"/>
      <c r="T77" s="707"/>
      <c r="U77" s="707"/>
      <c r="V77" s="707"/>
      <c r="W77" s="707"/>
      <c r="X77" s="707"/>
      <c r="Y77" s="707"/>
      <c r="Z77" s="707"/>
      <c r="AA77" s="36" t="str">
        <f t="shared" si="82"/>
        <v/>
      </c>
      <c r="AB77" s="288" t="str">
        <f t="shared" si="54"/>
        <v/>
      </c>
      <c r="AC77" s="288" t="str">
        <f t="shared" si="55"/>
        <v/>
      </c>
      <c r="AD77" s="288" t="str">
        <f t="shared" si="56"/>
        <v/>
      </c>
      <c r="AE77" s="288" t="str">
        <f t="shared" si="57"/>
        <v/>
      </c>
      <c r="AF77" s="288" t="str">
        <f t="shared" si="58"/>
        <v/>
      </c>
      <c r="AG77" s="288" t="str">
        <f t="shared" si="59"/>
        <v/>
      </c>
      <c r="AH77" s="288" t="str">
        <f t="shared" si="60"/>
        <v/>
      </c>
      <c r="AI77" s="36">
        <f t="shared" si="61"/>
        <v>-1</v>
      </c>
      <c r="AJ77" s="36">
        <f t="shared" si="62"/>
        <v>-1</v>
      </c>
      <c r="AK77" s="36">
        <f t="shared" si="63"/>
        <v>-1</v>
      </c>
      <c r="AL77" s="36"/>
      <c r="AM77" s="36" t="str">
        <f t="shared" si="84"/>
        <v/>
      </c>
      <c r="AN77" s="288" t="str">
        <f t="shared" si="64"/>
        <v/>
      </c>
      <c r="AO77" s="288" t="str">
        <f t="shared" si="65"/>
        <v/>
      </c>
      <c r="AP77" s="288" t="str">
        <f t="shared" si="66"/>
        <v/>
      </c>
      <c r="AQ77" s="36">
        <f t="shared" ref="AQ77:AS77" si="95">AQ76</f>
        <v>3.3793103448275866E-2</v>
      </c>
      <c r="AR77" s="36">
        <f t="shared" si="95"/>
        <v>5.9329425287356324E-2</v>
      </c>
      <c r="AS77" s="36">
        <f t="shared" si="95"/>
        <v>8.4865747126436797E-2</v>
      </c>
      <c r="AT77" s="288">
        <f t="shared" si="68"/>
        <v>0.11040206896551726</v>
      </c>
      <c r="AU77" s="707"/>
      <c r="AV77" s="707"/>
      <c r="AW77" s="707"/>
    </row>
    <row r="78" spans="2:49">
      <c r="B78" s="287"/>
      <c r="C78" s="707"/>
      <c r="D78" s="707"/>
      <c r="E78" s="707"/>
      <c r="F78" s="707"/>
      <c r="G78" s="707"/>
      <c r="H78" s="707"/>
      <c r="I78" s="707"/>
      <c r="J78" s="707"/>
      <c r="K78" s="707"/>
      <c r="L78" s="707"/>
      <c r="M78" s="707"/>
      <c r="N78" s="707"/>
      <c r="O78" s="707"/>
      <c r="P78" s="707"/>
      <c r="Q78" s="707"/>
      <c r="R78" s="707"/>
      <c r="S78" s="707"/>
      <c r="T78" s="707"/>
      <c r="U78" s="707"/>
      <c r="V78" s="707"/>
      <c r="W78" s="707"/>
      <c r="X78" s="707"/>
      <c r="Y78" s="707"/>
      <c r="Z78" s="707"/>
      <c r="AA78" s="36" t="str">
        <f t="shared" si="82"/>
        <v/>
      </c>
      <c r="AB78" s="288" t="str">
        <f t="shared" si="54"/>
        <v/>
      </c>
      <c r="AC78" s="288" t="str">
        <f t="shared" si="55"/>
        <v/>
      </c>
      <c r="AD78" s="288" t="str">
        <f t="shared" si="56"/>
        <v/>
      </c>
      <c r="AE78" s="288" t="str">
        <f t="shared" si="57"/>
        <v/>
      </c>
      <c r="AF78" s="288" t="str">
        <f t="shared" si="58"/>
        <v/>
      </c>
      <c r="AG78" s="288" t="str">
        <f t="shared" si="59"/>
        <v/>
      </c>
      <c r="AH78" s="288" t="str">
        <f t="shared" si="60"/>
        <v/>
      </c>
      <c r="AI78" s="36">
        <f t="shared" si="61"/>
        <v>-1</v>
      </c>
      <c r="AJ78" s="36">
        <f t="shared" si="62"/>
        <v>-1</v>
      </c>
      <c r="AK78" s="36">
        <f t="shared" si="63"/>
        <v>-1</v>
      </c>
      <c r="AL78" s="36"/>
      <c r="AM78" s="36" t="str">
        <f t="shared" si="84"/>
        <v/>
      </c>
      <c r="AN78" s="288" t="str">
        <f t="shared" si="64"/>
        <v/>
      </c>
      <c r="AO78" s="288" t="str">
        <f t="shared" si="65"/>
        <v/>
      </c>
      <c r="AP78" s="288" t="str">
        <f t="shared" si="66"/>
        <v/>
      </c>
      <c r="AQ78" s="36">
        <f t="shared" ref="AQ78:AS78" si="96">AQ77</f>
        <v>3.3793103448275866E-2</v>
      </c>
      <c r="AR78" s="36">
        <f t="shared" si="96"/>
        <v>5.9329425287356324E-2</v>
      </c>
      <c r="AS78" s="36">
        <f t="shared" si="96"/>
        <v>8.4865747126436797E-2</v>
      </c>
      <c r="AT78" s="288">
        <f t="shared" si="68"/>
        <v>0.11040206896551726</v>
      </c>
      <c r="AU78" s="707"/>
      <c r="AV78" s="707"/>
      <c r="AW78" s="707"/>
    </row>
    <row r="79" spans="2:49">
      <c r="B79" s="287"/>
      <c r="C79" s="707"/>
      <c r="D79" s="707"/>
      <c r="E79" s="707"/>
      <c r="F79" s="707"/>
      <c r="G79" s="707"/>
      <c r="H79" s="707"/>
      <c r="I79" s="707"/>
      <c r="J79" s="707"/>
      <c r="K79" s="707"/>
      <c r="L79" s="707"/>
      <c r="M79" s="707"/>
      <c r="N79" s="707"/>
      <c r="O79" s="707"/>
      <c r="P79" s="707"/>
      <c r="Q79" s="707"/>
      <c r="R79" s="707"/>
      <c r="S79" s="707"/>
      <c r="T79" s="707"/>
      <c r="U79" s="707"/>
      <c r="V79" s="707"/>
      <c r="W79" s="707"/>
      <c r="X79" s="707"/>
      <c r="Y79" s="707"/>
      <c r="Z79" s="707"/>
      <c r="AA79" s="36" t="str">
        <f t="shared" si="82"/>
        <v/>
      </c>
      <c r="AB79" s="288" t="str">
        <f t="shared" si="54"/>
        <v/>
      </c>
      <c r="AC79" s="288" t="str">
        <f t="shared" si="55"/>
        <v/>
      </c>
      <c r="AD79" s="288" t="str">
        <f t="shared" si="56"/>
        <v/>
      </c>
      <c r="AE79" s="288" t="str">
        <f t="shared" si="57"/>
        <v/>
      </c>
      <c r="AF79" s="288" t="str">
        <f t="shared" si="58"/>
        <v/>
      </c>
      <c r="AG79" s="288" t="str">
        <f t="shared" si="59"/>
        <v/>
      </c>
      <c r="AH79" s="288" t="str">
        <f t="shared" si="60"/>
        <v/>
      </c>
      <c r="AI79" s="36">
        <f t="shared" si="61"/>
        <v>-1</v>
      </c>
      <c r="AJ79" s="36">
        <f t="shared" si="62"/>
        <v>-1</v>
      </c>
      <c r="AK79" s="36">
        <f t="shared" si="63"/>
        <v>-1</v>
      </c>
      <c r="AL79" s="36"/>
      <c r="AM79" s="36" t="str">
        <f t="shared" si="84"/>
        <v/>
      </c>
      <c r="AN79" s="288" t="str">
        <f t="shared" si="64"/>
        <v/>
      </c>
      <c r="AO79" s="288" t="str">
        <f t="shared" si="65"/>
        <v/>
      </c>
      <c r="AP79" s="288" t="str">
        <f t="shared" si="66"/>
        <v/>
      </c>
      <c r="AQ79" s="36">
        <f t="shared" ref="AQ79:AS79" si="97">AQ78</f>
        <v>3.3793103448275866E-2</v>
      </c>
      <c r="AR79" s="36">
        <f t="shared" si="97"/>
        <v>5.9329425287356324E-2</v>
      </c>
      <c r="AS79" s="36">
        <f t="shared" si="97"/>
        <v>8.4865747126436797E-2</v>
      </c>
      <c r="AT79" s="288">
        <f t="shared" si="68"/>
        <v>0.11040206896551726</v>
      </c>
      <c r="AU79" s="707"/>
      <c r="AV79" s="707"/>
      <c r="AW79" s="707"/>
    </row>
    <row r="80" spans="2:49">
      <c r="B80" s="287"/>
      <c r="C80" s="707"/>
      <c r="D80" s="707"/>
      <c r="E80" s="707"/>
      <c r="F80" s="707"/>
      <c r="G80" s="707"/>
      <c r="H80" s="707"/>
      <c r="I80" s="707"/>
      <c r="J80" s="707"/>
      <c r="K80" s="707"/>
      <c r="L80" s="707"/>
      <c r="M80" s="707"/>
      <c r="N80" s="707"/>
      <c r="O80" s="707"/>
      <c r="P80" s="707"/>
      <c r="Q80" s="707"/>
      <c r="R80" s="707"/>
      <c r="S80" s="707"/>
      <c r="T80" s="707"/>
      <c r="U80" s="707"/>
      <c r="V80" s="707"/>
      <c r="W80" s="707"/>
      <c r="X80" s="707"/>
      <c r="Y80" s="707"/>
      <c r="Z80" s="707"/>
      <c r="AA80" s="36" t="str">
        <f t="shared" si="82"/>
        <v/>
      </c>
      <c r="AB80" s="288" t="str">
        <f t="shared" si="54"/>
        <v/>
      </c>
      <c r="AC80" s="288" t="str">
        <f t="shared" si="55"/>
        <v/>
      </c>
      <c r="AD80" s="288" t="str">
        <f t="shared" si="56"/>
        <v/>
      </c>
      <c r="AE80" s="288" t="str">
        <f t="shared" si="57"/>
        <v/>
      </c>
      <c r="AF80" s="288" t="str">
        <f t="shared" si="58"/>
        <v/>
      </c>
      <c r="AG80" s="288" t="str">
        <f t="shared" si="59"/>
        <v/>
      </c>
      <c r="AH80" s="288" t="str">
        <f t="shared" si="60"/>
        <v/>
      </c>
      <c r="AI80" s="36">
        <f t="shared" si="61"/>
        <v>-1</v>
      </c>
      <c r="AJ80" s="36">
        <f t="shared" si="62"/>
        <v>-1</v>
      </c>
      <c r="AK80" s="36">
        <f t="shared" si="63"/>
        <v>-1</v>
      </c>
      <c r="AL80" s="36"/>
      <c r="AM80" s="36" t="str">
        <f t="shared" si="84"/>
        <v/>
      </c>
      <c r="AN80" s="288" t="str">
        <f t="shared" si="64"/>
        <v/>
      </c>
      <c r="AO80" s="288" t="str">
        <f t="shared" si="65"/>
        <v/>
      </c>
      <c r="AP80" s="288" t="str">
        <f t="shared" si="66"/>
        <v/>
      </c>
      <c r="AQ80" s="36">
        <f t="shared" ref="AQ80:AS80" si="98">AQ79</f>
        <v>3.3793103448275866E-2</v>
      </c>
      <c r="AR80" s="36">
        <f t="shared" si="98"/>
        <v>5.9329425287356324E-2</v>
      </c>
      <c r="AS80" s="36">
        <f t="shared" si="98"/>
        <v>8.4865747126436797E-2</v>
      </c>
      <c r="AT80" s="288">
        <f t="shared" si="68"/>
        <v>0.11040206896551726</v>
      </c>
      <c r="AU80" s="707"/>
      <c r="AV80" s="707"/>
      <c r="AW80" s="707"/>
    </row>
    <row r="81" spans="2:46">
      <c r="B81" s="287"/>
      <c r="C81" s="707"/>
      <c r="D81" s="707"/>
      <c r="E81" s="707"/>
      <c r="F81" s="707"/>
      <c r="G81" s="707"/>
      <c r="H81" s="707"/>
      <c r="I81" s="707"/>
      <c r="J81" s="707"/>
      <c r="K81" s="707"/>
      <c r="L81" s="707"/>
      <c r="M81" s="707"/>
      <c r="N81" s="707"/>
      <c r="O81" s="707"/>
      <c r="P81" s="707"/>
      <c r="Q81" s="707"/>
      <c r="R81" s="707"/>
      <c r="S81" s="707"/>
      <c r="T81" s="707"/>
      <c r="U81" s="707"/>
      <c r="V81" s="707"/>
      <c r="W81" s="707"/>
      <c r="X81" s="707"/>
      <c r="Y81" s="707"/>
      <c r="Z81" s="707"/>
      <c r="AA81" s="36" t="str">
        <f t="shared" si="82"/>
        <v/>
      </c>
      <c r="AB81" s="288" t="str">
        <f t="shared" si="54"/>
        <v/>
      </c>
      <c r="AC81" s="288" t="str">
        <f t="shared" si="55"/>
        <v/>
      </c>
      <c r="AD81" s="288" t="str">
        <f t="shared" si="56"/>
        <v/>
      </c>
      <c r="AE81" s="288" t="str">
        <f t="shared" si="57"/>
        <v/>
      </c>
      <c r="AF81" s="288" t="str">
        <f t="shared" si="58"/>
        <v/>
      </c>
      <c r="AG81" s="288" t="str">
        <f t="shared" si="59"/>
        <v/>
      </c>
      <c r="AH81" s="288" t="str">
        <f t="shared" si="60"/>
        <v/>
      </c>
      <c r="AI81" s="36">
        <f t="shared" si="61"/>
        <v>-1</v>
      </c>
      <c r="AJ81" s="36">
        <f t="shared" si="62"/>
        <v>-1</v>
      </c>
      <c r="AK81" s="36">
        <f t="shared" si="63"/>
        <v>-1</v>
      </c>
      <c r="AL81" s="36"/>
      <c r="AM81" s="36" t="str">
        <f t="shared" si="84"/>
        <v/>
      </c>
      <c r="AN81" s="288" t="str">
        <f t="shared" si="64"/>
        <v/>
      </c>
      <c r="AO81" s="288" t="str">
        <f t="shared" si="65"/>
        <v/>
      </c>
      <c r="AP81" s="288" t="str">
        <f t="shared" si="66"/>
        <v/>
      </c>
      <c r="AQ81" s="36">
        <f t="shared" ref="AQ81:AS81" si="99">AQ80</f>
        <v>3.3793103448275866E-2</v>
      </c>
      <c r="AR81" s="36">
        <f t="shared" si="99"/>
        <v>5.9329425287356324E-2</v>
      </c>
      <c r="AS81" s="36">
        <f t="shared" si="99"/>
        <v>8.4865747126436797E-2</v>
      </c>
      <c r="AT81" s="288">
        <f t="shared" si="68"/>
        <v>0.11040206896551726</v>
      </c>
    </row>
    <row r="82" spans="2:46">
      <c r="B82" s="287"/>
      <c r="C82" s="707"/>
      <c r="D82" s="707"/>
      <c r="E82" s="707"/>
      <c r="F82" s="707"/>
      <c r="G82" s="707"/>
      <c r="H82" s="707"/>
      <c r="I82" s="707"/>
      <c r="J82" s="707"/>
      <c r="K82" s="707"/>
      <c r="L82" s="707"/>
      <c r="M82" s="707"/>
      <c r="N82" s="707"/>
      <c r="O82" s="707"/>
      <c r="P82" s="707"/>
      <c r="Q82" s="707"/>
      <c r="R82" s="707"/>
      <c r="S82" s="707"/>
      <c r="T82" s="707"/>
      <c r="U82" s="707"/>
      <c r="V82" s="707"/>
      <c r="W82" s="707"/>
      <c r="X82" s="707"/>
      <c r="Y82" s="707"/>
      <c r="Z82" s="707"/>
      <c r="AA82" s="36" t="str">
        <f t="shared" si="82"/>
        <v/>
      </c>
      <c r="AB82" s="288" t="str">
        <f t="shared" si="54"/>
        <v/>
      </c>
      <c r="AC82" s="288" t="str">
        <f t="shared" si="55"/>
        <v/>
      </c>
      <c r="AD82" s="288" t="str">
        <f t="shared" si="56"/>
        <v/>
      </c>
      <c r="AE82" s="288" t="str">
        <f t="shared" si="57"/>
        <v/>
      </c>
      <c r="AF82" s="288" t="str">
        <f t="shared" si="58"/>
        <v/>
      </c>
      <c r="AG82" s="288" t="str">
        <f t="shared" si="59"/>
        <v/>
      </c>
      <c r="AH82" s="288" t="str">
        <f t="shared" si="60"/>
        <v/>
      </c>
      <c r="AI82" s="36">
        <f t="shared" si="61"/>
        <v>-1</v>
      </c>
      <c r="AJ82" s="36">
        <f t="shared" si="62"/>
        <v>-1</v>
      </c>
      <c r="AK82" s="36">
        <f t="shared" si="63"/>
        <v>-1</v>
      </c>
      <c r="AL82" s="36"/>
      <c r="AM82" s="36" t="str">
        <f t="shared" si="84"/>
        <v/>
      </c>
      <c r="AN82" s="288" t="str">
        <f t="shared" si="64"/>
        <v/>
      </c>
      <c r="AO82" s="288" t="str">
        <f t="shared" si="65"/>
        <v/>
      </c>
      <c r="AP82" s="288" t="str">
        <f t="shared" si="66"/>
        <v/>
      </c>
      <c r="AQ82" s="36">
        <f t="shared" ref="AQ82:AS82" si="100">AQ81</f>
        <v>3.3793103448275866E-2</v>
      </c>
      <c r="AR82" s="36">
        <f t="shared" si="100"/>
        <v>5.9329425287356324E-2</v>
      </c>
      <c r="AS82" s="36">
        <f t="shared" si="100"/>
        <v>8.4865747126436797E-2</v>
      </c>
      <c r="AT82" s="288">
        <f t="shared" si="68"/>
        <v>0.11040206896551726</v>
      </c>
    </row>
    <row r="83" spans="2:46">
      <c r="B83" s="287"/>
      <c r="C83" s="707"/>
      <c r="D83" s="707"/>
      <c r="E83" s="707"/>
      <c r="F83" s="707"/>
      <c r="G83" s="707"/>
      <c r="H83" s="707"/>
      <c r="I83" s="707"/>
      <c r="J83" s="707"/>
      <c r="K83" s="707"/>
      <c r="L83" s="707"/>
      <c r="M83" s="707"/>
      <c r="N83" s="707"/>
      <c r="O83" s="707"/>
      <c r="P83" s="707"/>
      <c r="Q83" s="707"/>
      <c r="R83" s="707"/>
      <c r="S83" s="707"/>
      <c r="T83" s="707"/>
      <c r="U83" s="707"/>
      <c r="V83" s="707"/>
      <c r="W83" s="707"/>
      <c r="X83" s="707"/>
      <c r="Y83" s="707"/>
      <c r="Z83" s="707"/>
      <c r="AA83" s="36" t="str">
        <f t="shared" si="82"/>
        <v/>
      </c>
      <c r="AB83" s="288" t="str">
        <f t="shared" si="54"/>
        <v/>
      </c>
      <c r="AC83" s="288" t="str">
        <f t="shared" si="55"/>
        <v/>
      </c>
      <c r="AD83" s="288" t="str">
        <f t="shared" si="56"/>
        <v/>
      </c>
      <c r="AE83" s="288" t="str">
        <f t="shared" si="57"/>
        <v/>
      </c>
      <c r="AF83" s="288" t="str">
        <f t="shared" si="58"/>
        <v/>
      </c>
      <c r="AG83" s="288" t="str">
        <f t="shared" si="59"/>
        <v/>
      </c>
      <c r="AH83" s="288" t="str">
        <f t="shared" si="60"/>
        <v/>
      </c>
      <c r="AI83" s="36">
        <f t="shared" si="61"/>
        <v>-1</v>
      </c>
      <c r="AJ83" s="36">
        <f t="shared" si="62"/>
        <v>-1</v>
      </c>
      <c r="AK83" s="36">
        <f t="shared" si="63"/>
        <v>-1</v>
      </c>
      <c r="AL83" s="36"/>
      <c r="AM83" s="36" t="str">
        <f t="shared" si="84"/>
        <v/>
      </c>
      <c r="AN83" s="288" t="str">
        <f t="shared" si="64"/>
        <v/>
      </c>
      <c r="AO83" s="288" t="str">
        <f t="shared" si="65"/>
        <v/>
      </c>
      <c r="AP83" s="288" t="str">
        <f t="shared" si="66"/>
        <v/>
      </c>
      <c r="AQ83" s="36">
        <f t="shared" ref="AQ83:AS83" si="101">AQ82</f>
        <v>3.3793103448275866E-2</v>
      </c>
      <c r="AR83" s="36">
        <f t="shared" si="101"/>
        <v>5.9329425287356324E-2</v>
      </c>
      <c r="AS83" s="36">
        <f t="shared" si="101"/>
        <v>8.4865747126436797E-2</v>
      </c>
      <c r="AT83" s="288">
        <f t="shared" si="68"/>
        <v>0.11040206896551726</v>
      </c>
    </row>
    <row r="84" spans="2:46">
      <c r="B84" s="287"/>
      <c r="C84" s="707"/>
      <c r="D84" s="707"/>
      <c r="E84" s="707"/>
      <c r="F84" s="707"/>
      <c r="G84" s="707"/>
      <c r="H84" s="707"/>
      <c r="I84" s="707"/>
      <c r="J84" s="707"/>
      <c r="K84" s="707"/>
      <c r="L84" s="707"/>
      <c r="M84" s="707"/>
      <c r="N84" s="707"/>
      <c r="O84" s="707"/>
      <c r="P84" s="707"/>
      <c r="Q84" s="707"/>
      <c r="R84" s="707"/>
      <c r="S84" s="707"/>
      <c r="T84" s="707"/>
      <c r="U84" s="707"/>
      <c r="V84" s="707"/>
      <c r="W84" s="707"/>
      <c r="X84" s="707"/>
      <c r="Y84" s="707"/>
      <c r="Z84" s="707"/>
      <c r="AA84" s="36" t="str">
        <f t="shared" si="82"/>
        <v/>
      </c>
      <c r="AB84" s="288" t="str">
        <f t="shared" si="54"/>
        <v/>
      </c>
      <c r="AC84" s="288" t="str">
        <f t="shared" si="55"/>
        <v/>
      </c>
      <c r="AD84" s="288" t="str">
        <f t="shared" si="56"/>
        <v/>
      </c>
      <c r="AE84" s="288" t="str">
        <f t="shared" si="57"/>
        <v/>
      </c>
      <c r="AF84" s="288" t="str">
        <f t="shared" si="58"/>
        <v/>
      </c>
      <c r="AG84" s="288" t="str">
        <f t="shared" si="59"/>
        <v/>
      </c>
      <c r="AH84" s="288" t="str">
        <f t="shared" si="60"/>
        <v/>
      </c>
      <c r="AI84" s="36">
        <f t="shared" si="61"/>
        <v>-1</v>
      </c>
      <c r="AJ84" s="36">
        <f t="shared" si="62"/>
        <v>-1</v>
      </c>
      <c r="AK84" s="36">
        <f t="shared" si="63"/>
        <v>-1</v>
      </c>
      <c r="AL84" s="36"/>
      <c r="AM84" s="36" t="str">
        <f t="shared" si="84"/>
        <v/>
      </c>
      <c r="AN84" s="288" t="str">
        <f t="shared" si="64"/>
        <v/>
      </c>
      <c r="AO84" s="288" t="str">
        <f t="shared" si="65"/>
        <v/>
      </c>
      <c r="AP84" s="288" t="str">
        <f t="shared" si="66"/>
        <v/>
      </c>
      <c r="AQ84" s="36">
        <f t="shared" ref="AQ84:AS84" si="102">AQ83</f>
        <v>3.3793103448275866E-2</v>
      </c>
      <c r="AR84" s="36">
        <f t="shared" si="102"/>
        <v>5.9329425287356324E-2</v>
      </c>
      <c r="AS84" s="36">
        <f t="shared" si="102"/>
        <v>8.4865747126436797E-2</v>
      </c>
      <c r="AT84" s="288">
        <f t="shared" si="68"/>
        <v>0.11040206896551726</v>
      </c>
    </row>
    <row r="85" spans="2:46">
      <c r="B85" s="287"/>
      <c r="C85" s="707"/>
      <c r="D85" s="707"/>
      <c r="E85" s="707"/>
      <c r="F85" s="707"/>
      <c r="G85" s="707"/>
      <c r="H85" s="707"/>
      <c r="I85" s="707"/>
      <c r="J85" s="707"/>
      <c r="K85" s="707"/>
      <c r="L85" s="707"/>
      <c r="M85" s="707"/>
      <c r="N85" s="707"/>
      <c r="O85" s="707"/>
      <c r="P85" s="707"/>
      <c r="Q85" s="707"/>
      <c r="R85" s="707"/>
      <c r="S85" s="707"/>
      <c r="T85" s="707"/>
      <c r="U85" s="707"/>
      <c r="V85" s="707"/>
      <c r="W85" s="707"/>
      <c r="X85" s="707"/>
      <c r="Y85" s="707"/>
      <c r="Z85" s="707"/>
      <c r="AA85" s="36" t="str">
        <f t="shared" si="82"/>
        <v/>
      </c>
      <c r="AB85" s="288" t="str">
        <f t="shared" si="54"/>
        <v/>
      </c>
      <c r="AC85" s="288" t="str">
        <f t="shared" si="55"/>
        <v/>
      </c>
      <c r="AD85" s="288" t="str">
        <f t="shared" si="56"/>
        <v/>
      </c>
      <c r="AE85" s="288" t="str">
        <f t="shared" si="57"/>
        <v/>
      </c>
      <c r="AF85" s="288" t="str">
        <f t="shared" si="58"/>
        <v/>
      </c>
      <c r="AG85" s="288" t="str">
        <f t="shared" si="59"/>
        <v/>
      </c>
      <c r="AH85" s="288" t="str">
        <f t="shared" si="60"/>
        <v/>
      </c>
      <c r="AI85" s="36">
        <f t="shared" si="61"/>
        <v>-1</v>
      </c>
      <c r="AJ85" s="36">
        <f t="shared" si="62"/>
        <v>-1</v>
      </c>
      <c r="AK85" s="36">
        <f t="shared" si="63"/>
        <v>-1</v>
      </c>
      <c r="AL85" s="36"/>
      <c r="AM85" s="36" t="str">
        <f t="shared" si="84"/>
        <v/>
      </c>
      <c r="AN85" s="288" t="str">
        <f t="shared" si="64"/>
        <v/>
      </c>
      <c r="AO85" s="288" t="str">
        <f t="shared" si="65"/>
        <v/>
      </c>
      <c r="AP85" s="288" t="str">
        <f t="shared" si="66"/>
        <v/>
      </c>
      <c r="AQ85" s="36">
        <f t="shared" ref="AQ85:AS85" si="103">AQ84</f>
        <v>3.3793103448275866E-2</v>
      </c>
      <c r="AR85" s="36">
        <f t="shared" si="103"/>
        <v>5.9329425287356324E-2</v>
      </c>
      <c r="AS85" s="36">
        <f t="shared" si="103"/>
        <v>8.4865747126436797E-2</v>
      </c>
      <c r="AT85" s="288">
        <f t="shared" si="68"/>
        <v>0.11040206896551726</v>
      </c>
    </row>
    <row r="86" spans="2:46">
      <c r="B86" s="287"/>
      <c r="C86" s="707"/>
      <c r="D86" s="707"/>
      <c r="E86" s="707"/>
      <c r="F86" s="707"/>
      <c r="G86" s="707"/>
      <c r="H86" s="707"/>
      <c r="I86" s="707"/>
      <c r="J86" s="707"/>
      <c r="K86" s="707"/>
      <c r="L86" s="707"/>
      <c r="M86" s="707"/>
      <c r="N86" s="707"/>
      <c r="O86" s="707"/>
      <c r="P86" s="707"/>
      <c r="Q86" s="707"/>
      <c r="R86" s="707"/>
      <c r="S86" s="707"/>
      <c r="T86" s="707"/>
      <c r="U86" s="707"/>
      <c r="V86" s="707"/>
      <c r="W86" s="707"/>
      <c r="X86" s="707"/>
      <c r="Y86" s="707"/>
      <c r="Z86" s="707"/>
      <c r="AA86" s="36" t="str">
        <f t="shared" si="82"/>
        <v/>
      </c>
      <c r="AB86" s="288" t="str">
        <f t="shared" si="54"/>
        <v/>
      </c>
      <c r="AC86" s="288" t="str">
        <f t="shared" si="55"/>
        <v/>
      </c>
      <c r="AD86" s="288" t="str">
        <f t="shared" si="56"/>
        <v/>
      </c>
      <c r="AE86" s="288" t="str">
        <f t="shared" si="57"/>
        <v/>
      </c>
      <c r="AF86" s="288" t="str">
        <f t="shared" si="58"/>
        <v/>
      </c>
      <c r="AG86" s="288" t="str">
        <f t="shared" si="59"/>
        <v/>
      </c>
      <c r="AH86" s="288" t="str">
        <f t="shared" si="60"/>
        <v/>
      </c>
      <c r="AI86" s="36">
        <f t="shared" si="61"/>
        <v>-1</v>
      </c>
      <c r="AJ86" s="36">
        <f t="shared" si="62"/>
        <v>-1</v>
      </c>
      <c r="AK86" s="36">
        <f t="shared" si="63"/>
        <v>-1</v>
      </c>
      <c r="AL86" s="36"/>
      <c r="AM86" s="36" t="str">
        <f t="shared" si="84"/>
        <v/>
      </c>
      <c r="AN86" s="288" t="str">
        <f t="shared" si="64"/>
        <v/>
      </c>
      <c r="AO86" s="288" t="str">
        <f t="shared" si="65"/>
        <v/>
      </c>
      <c r="AP86" s="288" t="str">
        <f t="shared" si="66"/>
        <v/>
      </c>
      <c r="AQ86" s="36">
        <f t="shared" ref="AQ86:AS86" si="104">AQ85</f>
        <v>3.3793103448275866E-2</v>
      </c>
      <c r="AR86" s="36">
        <f t="shared" si="104"/>
        <v>5.9329425287356324E-2</v>
      </c>
      <c r="AS86" s="36">
        <f t="shared" si="104"/>
        <v>8.4865747126436797E-2</v>
      </c>
      <c r="AT86" s="288">
        <f t="shared" si="68"/>
        <v>0.11040206896551726</v>
      </c>
    </row>
    <row r="87" spans="2:46">
      <c r="B87" s="287"/>
      <c r="C87" s="707"/>
      <c r="D87" s="707"/>
      <c r="E87" s="707"/>
      <c r="F87" s="707"/>
      <c r="G87" s="707"/>
      <c r="H87" s="707"/>
      <c r="I87" s="707"/>
      <c r="J87" s="707"/>
      <c r="K87" s="707"/>
      <c r="L87" s="707"/>
      <c r="M87" s="707"/>
      <c r="N87" s="707"/>
      <c r="O87" s="707"/>
      <c r="P87" s="707"/>
      <c r="Q87" s="707"/>
      <c r="R87" s="707"/>
      <c r="S87" s="707"/>
      <c r="T87" s="707"/>
      <c r="U87" s="707"/>
      <c r="V87" s="707"/>
      <c r="W87" s="707"/>
      <c r="X87" s="707"/>
      <c r="Y87" s="707"/>
      <c r="Z87" s="707"/>
      <c r="AA87" s="36" t="str">
        <f t="shared" si="82"/>
        <v/>
      </c>
      <c r="AB87" s="288" t="str">
        <f t="shared" si="54"/>
        <v/>
      </c>
      <c r="AC87" s="288" t="str">
        <f t="shared" si="55"/>
        <v/>
      </c>
      <c r="AD87" s="288" t="str">
        <f t="shared" si="56"/>
        <v/>
      </c>
      <c r="AE87" s="288" t="str">
        <f t="shared" si="57"/>
        <v/>
      </c>
      <c r="AF87" s="288" t="str">
        <f t="shared" si="58"/>
        <v/>
      </c>
      <c r="AG87" s="288" t="str">
        <f t="shared" si="59"/>
        <v/>
      </c>
      <c r="AH87" s="288" t="str">
        <f t="shared" si="60"/>
        <v/>
      </c>
      <c r="AI87" s="36">
        <f t="shared" si="61"/>
        <v>-1</v>
      </c>
      <c r="AJ87" s="36">
        <f t="shared" si="62"/>
        <v>-1</v>
      </c>
      <c r="AK87" s="36">
        <f t="shared" si="63"/>
        <v>-1</v>
      </c>
      <c r="AL87" s="36"/>
      <c r="AM87" s="36" t="str">
        <f t="shared" si="84"/>
        <v/>
      </c>
      <c r="AN87" s="288" t="str">
        <f t="shared" si="64"/>
        <v/>
      </c>
      <c r="AO87" s="288" t="str">
        <f t="shared" si="65"/>
        <v/>
      </c>
      <c r="AP87" s="288" t="str">
        <f t="shared" si="66"/>
        <v/>
      </c>
      <c r="AQ87" s="36">
        <f t="shared" ref="AQ87:AS87" si="105">AQ86</f>
        <v>3.3793103448275866E-2</v>
      </c>
      <c r="AR87" s="36">
        <f t="shared" si="105"/>
        <v>5.9329425287356324E-2</v>
      </c>
      <c r="AS87" s="36">
        <f t="shared" si="105"/>
        <v>8.4865747126436797E-2</v>
      </c>
      <c r="AT87" s="288">
        <f t="shared" si="68"/>
        <v>0.11040206896551726</v>
      </c>
    </row>
    <row r="88" spans="2:46">
      <c r="B88" s="287"/>
      <c r="C88" s="707"/>
      <c r="D88" s="707"/>
      <c r="E88" s="707"/>
      <c r="F88" s="707"/>
      <c r="G88" s="707"/>
      <c r="H88" s="707"/>
      <c r="I88" s="707"/>
      <c r="J88" s="707"/>
      <c r="K88" s="707"/>
      <c r="L88" s="707"/>
      <c r="M88" s="707"/>
      <c r="N88" s="707"/>
      <c r="O88" s="707"/>
      <c r="P88" s="707"/>
      <c r="Q88" s="707"/>
      <c r="R88" s="707"/>
      <c r="S88" s="707"/>
      <c r="T88" s="707"/>
      <c r="U88" s="707"/>
      <c r="V88" s="707"/>
      <c r="W88" s="707"/>
      <c r="X88" s="707"/>
      <c r="Y88" s="707"/>
      <c r="Z88" s="707"/>
      <c r="AA88" s="36" t="str">
        <f t="shared" si="82"/>
        <v/>
      </c>
      <c r="AB88" s="288" t="str">
        <f t="shared" si="54"/>
        <v/>
      </c>
      <c r="AC88" s="288" t="str">
        <f t="shared" si="55"/>
        <v/>
      </c>
      <c r="AD88" s="288" t="str">
        <f t="shared" si="56"/>
        <v/>
      </c>
      <c r="AE88" s="288" t="str">
        <f t="shared" si="57"/>
        <v/>
      </c>
      <c r="AF88" s="288" t="str">
        <f t="shared" si="58"/>
        <v/>
      </c>
      <c r="AG88" s="288" t="str">
        <f t="shared" si="59"/>
        <v/>
      </c>
      <c r="AH88" s="288" t="str">
        <f t="shared" si="60"/>
        <v/>
      </c>
      <c r="AI88" s="36">
        <f t="shared" si="61"/>
        <v>-1</v>
      </c>
      <c r="AJ88" s="36">
        <f t="shared" si="62"/>
        <v>-1</v>
      </c>
      <c r="AK88" s="36">
        <f t="shared" si="63"/>
        <v>-1</v>
      </c>
      <c r="AL88" s="36"/>
      <c r="AM88" s="36" t="str">
        <f t="shared" si="84"/>
        <v/>
      </c>
      <c r="AN88" s="288" t="str">
        <f t="shared" si="64"/>
        <v/>
      </c>
      <c r="AO88" s="288" t="str">
        <f t="shared" si="65"/>
        <v/>
      </c>
      <c r="AP88" s="288" t="str">
        <f t="shared" si="66"/>
        <v/>
      </c>
      <c r="AQ88" s="36">
        <f t="shared" ref="AQ88:AS88" si="106">AQ87</f>
        <v>3.3793103448275866E-2</v>
      </c>
      <c r="AR88" s="36">
        <f t="shared" si="106"/>
        <v>5.9329425287356324E-2</v>
      </c>
      <c r="AS88" s="36">
        <f t="shared" si="106"/>
        <v>8.4865747126436797E-2</v>
      </c>
      <c r="AT88" s="288">
        <f t="shared" si="68"/>
        <v>0.11040206896551726</v>
      </c>
    </row>
    <row r="89" spans="2:46">
      <c r="B89" s="287"/>
      <c r="C89" s="707"/>
      <c r="D89" s="707"/>
      <c r="E89" s="707"/>
      <c r="F89" s="707"/>
      <c r="G89" s="707"/>
      <c r="H89" s="707"/>
      <c r="I89" s="707"/>
      <c r="J89" s="707"/>
      <c r="K89" s="707"/>
      <c r="L89" s="707"/>
      <c r="M89" s="707"/>
      <c r="N89" s="707"/>
      <c r="O89" s="707"/>
      <c r="P89" s="707"/>
      <c r="Q89" s="707"/>
      <c r="R89" s="707"/>
      <c r="S89" s="707"/>
      <c r="T89" s="707"/>
      <c r="U89" s="707"/>
      <c r="V89" s="707"/>
      <c r="W89" s="707"/>
      <c r="X89" s="707"/>
      <c r="Y89" s="707"/>
      <c r="Z89" s="707"/>
      <c r="AA89" s="36" t="str">
        <f t="shared" si="82"/>
        <v/>
      </c>
      <c r="AB89" s="288" t="str">
        <f t="shared" si="54"/>
        <v/>
      </c>
      <c r="AC89" s="288" t="str">
        <f t="shared" si="55"/>
        <v/>
      </c>
      <c r="AD89" s="288" t="str">
        <f t="shared" si="56"/>
        <v/>
      </c>
      <c r="AE89" s="288" t="str">
        <f t="shared" si="57"/>
        <v/>
      </c>
      <c r="AF89" s="288" t="str">
        <f t="shared" si="58"/>
        <v/>
      </c>
      <c r="AG89" s="288" t="str">
        <f t="shared" si="59"/>
        <v/>
      </c>
      <c r="AH89" s="288" t="str">
        <f t="shared" si="60"/>
        <v/>
      </c>
      <c r="AI89" s="36">
        <f t="shared" si="61"/>
        <v>-1</v>
      </c>
      <c r="AJ89" s="36">
        <f t="shared" si="62"/>
        <v>-1</v>
      </c>
      <c r="AK89" s="36">
        <f t="shared" si="63"/>
        <v>-1</v>
      </c>
      <c r="AL89" s="36"/>
      <c r="AM89" s="36" t="str">
        <f t="shared" si="84"/>
        <v/>
      </c>
      <c r="AN89" s="288" t="str">
        <f t="shared" si="64"/>
        <v/>
      </c>
      <c r="AO89" s="288" t="str">
        <f t="shared" si="65"/>
        <v/>
      </c>
      <c r="AP89" s="288" t="str">
        <f t="shared" si="66"/>
        <v/>
      </c>
      <c r="AQ89" s="36">
        <f t="shared" ref="AQ89:AS89" si="107">AQ88</f>
        <v>3.3793103448275866E-2</v>
      </c>
      <c r="AR89" s="36">
        <f t="shared" si="107"/>
        <v>5.9329425287356324E-2</v>
      </c>
      <c r="AS89" s="36">
        <f t="shared" si="107"/>
        <v>8.4865747126436797E-2</v>
      </c>
      <c r="AT89" s="288">
        <f t="shared" si="68"/>
        <v>0.11040206896551726</v>
      </c>
    </row>
    <row r="90" spans="2:46">
      <c r="B90" s="287"/>
      <c r="C90" s="707"/>
      <c r="D90" s="707"/>
      <c r="E90" s="707"/>
      <c r="F90" s="707"/>
      <c r="G90" s="707"/>
      <c r="H90" s="707"/>
      <c r="I90" s="707"/>
      <c r="J90" s="707"/>
      <c r="K90" s="707"/>
      <c r="L90" s="707"/>
      <c r="M90" s="707"/>
      <c r="N90" s="707"/>
      <c r="O90" s="707"/>
      <c r="P90" s="707"/>
      <c r="Q90" s="707"/>
      <c r="R90" s="707"/>
      <c r="S90" s="707"/>
      <c r="T90" s="707"/>
      <c r="U90" s="707"/>
      <c r="V90" s="707"/>
      <c r="W90" s="707"/>
      <c r="X90" s="707"/>
      <c r="Y90" s="707"/>
      <c r="Z90" s="707"/>
      <c r="AA90" s="36" t="str">
        <f t="shared" si="82"/>
        <v/>
      </c>
      <c r="AB90" s="288" t="str">
        <f t="shared" si="54"/>
        <v/>
      </c>
      <c r="AC90" s="288" t="str">
        <f t="shared" si="55"/>
        <v/>
      </c>
      <c r="AD90" s="288" t="str">
        <f t="shared" si="56"/>
        <v/>
      </c>
      <c r="AE90" s="288" t="str">
        <f t="shared" si="57"/>
        <v/>
      </c>
      <c r="AF90" s="288" t="str">
        <f t="shared" si="58"/>
        <v/>
      </c>
      <c r="AG90" s="288" t="str">
        <f t="shared" si="59"/>
        <v/>
      </c>
      <c r="AH90" s="288" t="str">
        <f t="shared" si="60"/>
        <v/>
      </c>
      <c r="AI90" s="36">
        <f t="shared" si="61"/>
        <v>-1</v>
      </c>
      <c r="AJ90" s="36">
        <f t="shared" si="62"/>
        <v>-1</v>
      </c>
      <c r="AK90" s="36">
        <f t="shared" si="63"/>
        <v>-1</v>
      </c>
      <c r="AL90" s="36"/>
      <c r="AM90" s="36" t="str">
        <f t="shared" si="84"/>
        <v/>
      </c>
      <c r="AN90" s="288" t="str">
        <f t="shared" si="64"/>
        <v/>
      </c>
      <c r="AO90" s="288" t="str">
        <f t="shared" si="65"/>
        <v/>
      </c>
      <c r="AP90" s="288" t="str">
        <f t="shared" si="66"/>
        <v/>
      </c>
      <c r="AQ90" s="36">
        <f t="shared" ref="AQ90:AS90" si="108">AQ89</f>
        <v>3.3793103448275866E-2</v>
      </c>
      <c r="AR90" s="36">
        <f t="shared" si="108"/>
        <v>5.9329425287356324E-2</v>
      </c>
      <c r="AS90" s="36">
        <f t="shared" si="108"/>
        <v>8.4865747126436797E-2</v>
      </c>
      <c r="AT90" s="288">
        <f t="shared" si="68"/>
        <v>0.11040206896551726</v>
      </c>
    </row>
    <row r="91" spans="2:46">
      <c r="B91" s="287"/>
      <c r="C91" s="707"/>
      <c r="D91" s="707"/>
      <c r="E91" s="707"/>
      <c r="F91" s="707"/>
      <c r="G91" s="707"/>
      <c r="H91" s="707"/>
      <c r="I91" s="707"/>
      <c r="J91" s="707"/>
      <c r="K91" s="707"/>
      <c r="L91" s="707"/>
      <c r="M91" s="707"/>
      <c r="N91" s="707"/>
      <c r="O91" s="707"/>
      <c r="P91" s="707"/>
      <c r="Q91" s="707"/>
      <c r="R91" s="707"/>
      <c r="S91" s="707"/>
      <c r="T91" s="707"/>
      <c r="U91" s="707"/>
      <c r="V91" s="707"/>
      <c r="W91" s="707"/>
      <c r="X91" s="707"/>
      <c r="Y91" s="707"/>
      <c r="Z91" s="707"/>
      <c r="AA91" s="36" t="str">
        <f t="shared" si="82"/>
        <v/>
      </c>
      <c r="AB91" s="288" t="str">
        <f t="shared" si="54"/>
        <v/>
      </c>
      <c r="AC91" s="288" t="str">
        <f t="shared" si="55"/>
        <v/>
      </c>
      <c r="AD91" s="288" t="str">
        <f t="shared" si="56"/>
        <v/>
      </c>
      <c r="AE91" s="288" t="str">
        <f t="shared" si="57"/>
        <v/>
      </c>
      <c r="AF91" s="288" t="str">
        <f t="shared" si="58"/>
        <v/>
      </c>
      <c r="AG91" s="288" t="str">
        <f t="shared" si="59"/>
        <v/>
      </c>
      <c r="AH91" s="288" t="str">
        <f t="shared" si="60"/>
        <v/>
      </c>
      <c r="AI91" s="36">
        <f t="shared" si="61"/>
        <v>-1</v>
      </c>
      <c r="AJ91" s="36">
        <f t="shared" si="62"/>
        <v>-1</v>
      </c>
      <c r="AK91" s="36">
        <f t="shared" si="63"/>
        <v>-1</v>
      </c>
      <c r="AL91" s="36"/>
      <c r="AM91" s="36" t="str">
        <f t="shared" si="84"/>
        <v/>
      </c>
      <c r="AN91" s="288" t="str">
        <f t="shared" si="64"/>
        <v/>
      </c>
      <c r="AO91" s="288" t="str">
        <f t="shared" si="65"/>
        <v/>
      </c>
      <c r="AP91" s="288" t="str">
        <f t="shared" si="66"/>
        <v/>
      </c>
      <c r="AQ91" s="36">
        <f t="shared" ref="AQ91:AS91" si="109">AQ90</f>
        <v>3.3793103448275866E-2</v>
      </c>
      <c r="AR91" s="36">
        <f t="shared" si="109"/>
        <v>5.9329425287356324E-2</v>
      </c>
      <c r="AS91" s="36">
        <f t="shared" si="109"/>
        <v>8.4865747126436797E-2</v>
      </c>
      <c r="AT91" s="288">
        <f t="shared" si="68"/>
        <v>0.11040206896551726</v>
      </c>
    </row>
    <row r="92" spans="2:46">
      <c r="B92" s="287"/>
      <c r="C92" s="707"/>
      <c r="D92" s="707"/>
      <c r="E92" s="707"/>
      <c r="F92" s="707"/>
      <c r="G92" s="707"/>
      <c r="H92" s="707"/>
      <c r="I92" s="707"/>
      <c r="J92" s="707"/>
      <c r="K92" s="707"/>
      <c r="L92" s="707"/>
      <c r="M92" s="707"/>
      <c r="N92" s="707"/>
      <c r="O92" s="707"/>
      <c r="P92" s="707"/>
      <c r="Q92" s="707"/>
      <c r="R92" s="707"/>
      <c r="S92" s="707"/>
      <c r="T92" s="707"/>
      <c r="U92" s="707"/>
      <c r="V92" s="707"/>
      <c r="W92" s="707"/>
      <c r="X92" s="707"/>
      <c r="Y92" s="707"/>
      <c r="Z92" s="707"/>
      <c r="AA92" s="36" t="str">
        <f t="shared" si="82"/>
        <v/>
      </c>
      <c r="AB92" s="288" t="str">
        <f t="shared" si="54"/>
        <v/>
      </c>
      <c r="AC92" s="288" t="str">
        <f t="shared" si="55"/>
        <v/>
      </c>
      <c r="AD92" s="288" t="str">
        <f t="shared" si="56"/>
        <v/>
      </c>
      <c r="AE92" s="288" t="str">
        <f t="shared" si="57"/>
        <v/>
      </c>
      <c r="AF92" s="288" t="str">
        <f t="shared" si="58"/>
        <v/>
      </c>
      <c r="AG92" s="288" t="str">
        <f t="shared" si="59"/>
        <v/>
      </c>
      <c r="AH92" s="288" t="str">
        <f t="shared" si="60"/>
        <v/>
      </c>
      <c r="AI92" s="36">
        <f t="shared" si="61"/>
        <v>-1</v>
      </c>
      <c r="AJ92" s="36">
        <f t="shared" si="62"/>
        <v>-1</v>
      </c>
      <c r="AK92" s="36">
        <f t="shared" si="63"/>
        <v>-1</v>
      </c>
      <c r="AL92" s="36"/>
      <c r="AM92" s="36" t="str">
        <f t="shared" si="84"/>
        <v/>
      </c>
      <c r="AN92" s="288" t="str">
        <f t="shared" si="64"/>
        <v/>
      </c>
      <c r="AO92" s="288" t="str">
        <f t="shared" si="65"/>
        <v/>
      </c>
      <c r="AP92" s="288" t="str">
        <f t="shared" si="66"/>
        <v/>
      </c>
      <c r="AQ92" s="36">
        <f t="shared" ref="AQ92:AS92" si="110">AQ91</f>
        <v>3.3793103448275866E-2</v>
      </c>
      <c r="AR92" s="36">
        <f t="shared" si="110"/>
        <v>5.9329425287356324E-2</v>
      </c>
      <c r="AS92" s="36">
        <f t="shared" si="110"/>
        <v>8.4865747126436797E-2</v>
      </c>
      <c r="AT92" s="288">
        <f t="shared" si="68"/>
        <v>0.11040206896551726</v>
      </c>
    </row>
    <row r="93" spans="2:46">
      <c r="B93" s="287"/>
      <c r="C93" s="707"/>
      <c r="D93" s="707"/>
      <c r="E93" s="707"/>
      <c r="F93" s="707"/>
      <c r="G93" s="707"/>
      <c r="H93" s="707"/>
      <c r="I93" s="707"/>
      <c r="J93" s="707"/>
      <c r="K93" s="707"/>
      <c r="L93" s="707"/>
      <c r="M93" s="707"/>
      <c r="N93" s="707"/>
      <c r="O93" s="707"/>
      <c r="P93" s="707"/>
      <c r="Q93" s="707"/>
      <c r="R93" s="707"/>
      <c r="S93" s="707"/>
      <c r="T93" s="707"/>
      <c r="U93" s="707"/>
      <c r="V93" s="707"/>
      <c r="W93" s="707"/>
      <c r="X93" s="707"/>
      <c r="Y93" s="707"/>
      <c r="Z93" s="707"/>
      <c r="AA93" s="36" t="str">
        <f t="shared" si="82"/>
        <v/>
      </c>
      <c r="AB93" s="288" t="str">
        <f t="shared" si="54"/>
        <v/>
      </c>
      <c r="AC93" s="288" t="str">
        <f t="shared" si="55"/>
        <v/>
      </c>
      <c r="AD93" s="288" t="str">
        <f t="shared" si="56"/>
        <v/>
      </c>
      <c r="AE93" s="288" t="str">
        <f t="shared" si="57"/>
        <v/>
      </c>
      <c r="AF93" s="288" t="str">
        <f t="shared" si="58"/>
        <v/>
      </c>
      <c r="AG93" s="288" t="str">
        <f t="shared" si="59"/>
        <v/>
      </c>
      <c r="AH93" s="288" t="str">
        <f t="shared" si="60"/>
        <v/>
      </c>
      <c r="AI93" s="36">
        <f t="shared" si="61"/>
        <v>-1</v>
      </c>
      <c r="AJ93" s="36">
        <f t="shared" si="62"/>
        <v>-1</v>
      </c>
      <c r="AK93" s="36">
        <f t="shared" si="63"/>
        <v>-1</v>
      </c>
      <c r="AL93" s="36"/>
      <c r="AM93" s="36" t="str">
        <f t="shared" si="84"/>
        <v/>
      </c>
      <c r="AN93" s="288" t="str">
        <f t="shared" si="64"/>
        <v/>
      </c>
      <c r="AO93" s="288" t="str">
        <f t="shared" si="65"/>
        <v/>
      </c>
      <c r="AP93" s="288" t="str">
        <f t="shared" si="66"/>
        <v/>
      </c>
      <c r="AQ93" s="36">
        <f t="shared" ref="AQ93:AS93" si="111">AQ92</f>
        <v>3.3793103448275866E-2</v>
      </c>
      <c r="AR93" s="36">
        <f t="shared" si="111"/>
        <v>5.9329425287356324E-2</v>
      </c>
      <c r="AS93" s="36">
        <f t="shared" si="111"/>
        <v>8.4865747126436797E-2</v>
      </c>
      <c r="AT93" s="288">
        <f t="shared" si="68"/>
        <v>0.11040206896551726</v>
      </c>
    </row>
    <row r="94" spans="2:46">
      <c r="B94" s="287"/>
      <c r="C94" s="707"/>
      <c r="D94" s="707"/>
      <c r="E94" s="707"/>
      <c r="F94" s="707"/>
      <c r="G94" s="707"/>
      <c r="H94" s="707"/>
      <c r="I94" s="707"/>
      <c r="J94" s="707"/>
      <c r="K94" s="707"/>
      <c r="L94" s="707"/>
      <c r="M94" s="707"/>
      <c r="N94" s="707"/>
      <c r="O94" s="707"/>
      <c r="P94" s="707"/>
      <c r="Q94" s="707"/>
      <c r="R94" s="707"/>
      <c r="S94" s="707"/>
      <c r="T94" s="707"/>
      <c r="U94" s="707"/>
      <c r="V94" s="707"/>
      <c r="W94" s="707"/>
      <c r="X94" s="707"/>
      <c r="Y94" s="707"/>
      <c r="Z94" s="707"/>
      <c r="AA94" s="36" t="str">
        <f t="shared" si="82"/>
        <v/>
      </c>
      <c r="AB94" s="288" t="str">
        <f t="shared" si="54"/>
        <v/>
      </c>
      <c r="AC94" s="288" t="str">
        <f t="shared" si="55"/>
        <v/>
      </c>
      <c r="AD94" s="288" t="str">
        <f t="shared" si="56"/>
        <v/>
      </c>
      <c r="AE94" s="288" t="str">
        <f t="shared" si="57"/>
        <v/>
      </c>
      <c r="AF94" s="288" t="str">
        <f t="shared" si="58"/>
        <v/>
      </c>
      <c r="AG94" s="288" t="str">
        <f t="shared" si="59"/>
        <v/>
      </c>
      <c r="AH94" s="288" t="str">
        <f t="shared" si="60"/>
        <v/>
      </c>
      <c r="AI94" s="36">
        <f t="shared" si="61"/>
        <v>-1</v>
      </c>
      <c r="AJ94" s="36">
        <f t="shared" si="62"/>
        <v>-1</v>
      </c>
      <c r="AK94" s="36">
        <f t="shared" si="63"/>
        <v>-1</v>
      </c>
      <c r="AL94" s="36"/>
      <c r="AM94" s="36" t="str">
        <f t="shared" si="84"/>
        <v/>
      </c>
      <c r="AN94" s="288" t="str">
        <f t="shared" si="64"/>
        <v/>
      </c>
      <c r="AO94" s="288" t="str">
        <f t="shared" si="65"/>
        <v/>
      </c>
      <c r="AP94" s="288" t="str">
        <f t="shared" si="66"/>
        <v/>
      </c>
      <c r="AQ94" s="36">
        <f t="shared" ref="AQ94:AS94" si="112">AQ93</f>
        <v>3.3793103448275866E-2</v>
      </c>
      <c r="AR94" s="36">
        <f t="shared" si="112"/>
        <v>5.9329425287356324E-2</v>
      </c>
      <c r="AS94" s="36">
        <f t="shared" si="112"/>
        <v>8.4865747126436797E-2</v>
      </c>
      <c r="AT94" s="288">
        <f t="shared" si="68"/>
        <v>0.11040206896551726</v>
      </c>
    </row>
    <row r="95" spans="2:46">
      <c r="B95" s="287"/>
      <c r="C95" s="707"/>
      <c r="D95" s="707"/>
      <c r="E95" s="707"/>
      <c r="F95" s="707"/>
      <c r="G95" s="707"/>
      <c r="H95" s="707"/>
      <c r="I95" s="707"/>
      <c r="J95" s="707"/>
      <c r="K95" s="707"/>
      <c r="L95" s="707"/>
      <c r="M95" s="707"/>
      <c r="N95" s="707"/>
      <c r="O95" s="707"/>
      <c r="P95" s="707"/>
      <c r="Q95" s="707"/>
      <c r="R95" s="707"/>
      <c r="S95" s="707"/>
      <c r="T95" s="707"/>
      <c r="U95" s="707"/>
      <c r="V95" s="707"/>
      <c r="W95" s="707"/>
      <c r="X95" s="707"/>
      <c r="Y95" s="707"/>
      <c r="Z95" s="707"/>
      <c r="AA95" s="36" t="str">
        <f t="shared" si="82"/>
        <v/>
      </c>
      <c r="AB95" s="288" t="str">
        <f t="shared" si="54"/>
        <v/>
      </c>
      <c r="AC95" s="288" t="str">
        <f t="shared" si="55"/>
        <v/>
      </c>
      <c r="AD95" s="288" t="str">
        <f t="shared" si="56"/>
        <v/>
      </c>
      <c r="AE95" s="288" t="str">
        <f t="shared" si="57"/>
        <v/>
      </c>
      <c r="AF95" s="288" t="str">
        <f t="shared" si="58"/>
        <v/>
      </c>
      <c r="AG95" s="288" t="str">
        <f t="shared" si="59"/>
        <v/>
      </c>
      <c r="AH95" s="288" t="str">
        <f t="shared" si="60"/>
        <v/>
      </c>
      <c r="AI95" s="36">
        <f t="shared" si="61"/>
        <v>-1</v>
      </c>
      <c r="AJ95" s="36">
        <f t="shared" si="62"/>
        <v>-1</v>
      </c>
      <c r="AK95" s="36">
        <f t="shared" si="63"/>
        <v>-1</v>
      </c>
      <c r="AL95" s="36"/>
      <c r="AM95" s="36" t="str">
        <f t="shared" si="84"/>
        <v/>
      </c>
      <c r="AN95" s="288" t="str">
        <f t="shared" si="64"/>
        <v/>
      </c>
      <c r="AO95" s="288" t="str">
        <f t="shared" si="65"/>
        <v/>
      </c>
      <c r="AP95" s="288" t="str">
        <f t="shared" si="66"/>
        <v/>
      </c>
      <c r="AQ95" s="36">
        <f t="shared" ref="AQ95:AS95" si="113">AQ94</f>
        <v>3.3793103448275866E-2</v>
      </c>
      <c r="AR95" s="36">
        <f t="shared" si="113"/>
        <v>5.9329425287356324E-2</v>
      </c>
      <c r="AS95" s="36">
        <f t="shared" si="113"/>
        <v>8.4865747126436797E-2</v>
      </c>
      <c r="AT95" s="288">
        <f t="shared" si="68"/>
        <v>0.11040206896551726</v>
      </c>
    </row>
    <row r="96" spans="2:46">
      <c r="B96" s="287"/>
      <c r="C96" s="707"/>
      <c r="D96" s="707"/>
      <c r="E96" s="707"/>
      <c r="F96" s="707"/>
      <c r="G96" s="707"/>
      <c r="H96" s="707"/>
      <c r="I96" s="707"/>
      <c r="J96" s="707"/>
      <c r="K96" s="707"/>
      <c r="L96" s="707"/>
      <c r="M96" s="707"/>
      <c r="N96" s="707"/>
      <c r="O96" s="707"/>
      <c r="P96" s="707"/>
      <c r="Q96" s="707"/>
      <c r="R96" s="707"/>
      <c r="S96" s="707"/>
      <c r="T96" s="707"/>
      <c r="U96" s="707"/>
      <c r="V96" s="707"/>
      <c r="W96" s="707"/>
      <c r="X96" s="707"/>
      <c r="Y96" s="707"/>
      <c r="Z96" s="707"/>
      <c r="AA96" s="36" t="str">
        <f t="shared" si="82"/>
        <v/>
      </c>
      <c r="AB96" s="288" t="str">
        <f t="shared" si="54"/>
        <v/>
      </c>
      <c r="AC96" s="288" t="str">
        <f t="shared" si="55"/>
        <v/>
      </c>
      <c r="AD96" s="288" t="str">
        <f t="shared" si="56"/>
        <v/>
      </c>
      <c r="AE96" s="288" t="str">
        <f t="shared" si="57"/>
        <v/>
      </c>
      <c r="AF96" s="288" t="str">
        <f t="shared" si="58"/>
        <v/>
      </c>
      <c r="AG96" s="288" t="str">
        <f t="shared" si="59"/>
        <v/>
      </c>
      <c r="AH96" s="288" t="str">
        <f t="shared" si="60"/>
        <v/>
      </c>
      <c r="AI96" s="36">
        <f t="shared" si="61"/>
        <v>-1</v>
      </c>
      <c r="AJ96" s="36">
        <f t="shared" si="62"/>
        <v>-1</v>
      </c>
      <c r="AK96" s="36">
        <f t="shared" si="63"/>
        <v>-1</v>
      </c>
      <c r="AL96" s="36"/>
      <c r="AM96" s="36" t="str">
        <f t="shared" si="84"/>
        <v/>
      </c>
      <c r="AN96" s="288" t="str">
        <f t="shared" si="64"/>
        <v/>
      </c>
      <c r="AO96" s="288" t="str">
        <f t="shared" si="65"/>
        <v/>
      </c>
      <c r="AP96" s="288" t="str">
        <f t="shared" si="66"/>
        <v/>
      </c>
      <c r="AQ96" s="36">
        <f t="shared" ref="AQ96:AS96" si="114">AQ95</f>
        <v>3.3793103448275866E-2</v>
      </c>
      <c r="AR96" s="36">
        <f t="shared" si="114"/>
        <v>5.9329425287356324E-2</v>
      </c>
      <c r="AS96" s="36">
        <f t="shared" si="114"/>
        <v>8.4865747126436797E-2</v>
      </c>
      <c r="AT96" s="288">
        <f t="shared" si="68"/>
        <v>0.11040206896551726</v>
      </c>
    </row>
    <row r="97" spans="2:46">
      <c r="B97" s="287"/>
      <c r="C97" s="707"/>
      <c r="D97" s="707"/>
      <c r="E97" s="707"/>
      <c r="F97" s="707"/>
      <c r="G97" s="707"/>
      <c r="H97" s="707"/>
      <c r="I97" s="707"/>
      <c r="J97" s="707"/>
      <c r="K97" s="707"/>
      <c r="L97" s="707"/>
      <c r="M97" s="707"/>
      <c r="N97" s="707"/>
      <c r="O97" s="707"/>
      <c r="P97" s="707"/>
      <c r="Q97" s="707"/>
      <c r="R97" s="707"/>
      <c r="S97" s="707"/>
      <c r="T97" s="707"/>
      <c r="U97" s="707"/>
      <c r="V97" s="707"/>
      <c r="W97" s="707"/>
      <c r="X97" s="707"/>
      <c r="Y97" s="707"/>
      <c r="Z97" s="707"/>
      <c r="AA97" s="36" t="str">
        <f t="shared" si="82"/>
        <v/>
      </c>
      <c r="AB97" s="288" t="str">
        <f t="shared" si="54"/>
        <v/>
      </c>
      <c r="AC97" s="288" t="str">
        <f t="shared" si="55"/>
        <v/>
      </c>
      <c r="AD97" s="288" t="str">
        <f t="shared" si="56"/>
        <v/>
      </c>
      <c r="AE97" s="288" t="str">
        <f t="shared" si="57"/>
        <v/>
      </c>
      <c r="AF97" s="288" t="str">
        <f t="shared" si="58"/>
        <v/>
      </c>
      <c r="AG97" s="288" t="str">
        <f t="shared" si="59"/>
        <v/>
      </c>
      <c r="AH97" s="288" t="str">
        <f t="shared" si="60"/>
        <v/>
      </c>
      <c r="AI97" s="36">
        <f t="shared" si="61"/>
        <v>-1</v>
      </c>
      <c r="AJ97" s="36">
        <f t="shared" si="62"/>
        <v>-1</v>
      </c>
      <c r="AK97" s="36">
        <f t="shared" si="63"/>
        <v>-1</v>
      </c>
      <c r="AL97" s="36"/>
      <c r="AM97" s="36" t="str">
        <f t="shared" si="84"/>
        <v/>
      </c>
      <c r="AN97" s="288" t="str">
        <f t="shared" si="64"/>
        <v/>
      </c>
      <c r="AO97" s="288" t="str">
        <f t="shared" si="65"/>
        <v/>
      </c>
      <c r="AP97" s="288" t="str">
        <f t="shared" si="66"/>
        <v/>
      </c>
      <c r="AQ97" s="36">
        <f t="shared" ref="AQ97:AS97" si="115">AQ96</f>
        <v>3.3793103448275866E-2</v>
      </c>
      <c r="AR97" s="36">
        <f t="shared" si="115"/>
        <v>5.9329425287356324E-2</v>
      </c>
      <c r="AS97" s="36">
        <f t="shared" si="115"/>
        <v>8.4865747126436797E-2</v>
      </c>
      <c r="AT97" s="288">
        <f t="shared" si="68"/>
        <v>0.11040206896551726</v>
      </c>
    </row>
    <row r="98" spans="2:46">
      <c r="B98" s="287"/>
      <c r="C98" s="707"/>
      <c r="D98" s="707"/>
      <c r="E98" s="707"/>
      <c r="F98" s="707"/>
      <c r="G98" s="707"/>
      <c r="H98" s="707"/>
      <c r="I98" s="707"/>
      <c r="J98" s="707"/>
      <c r="K98" s="707"/>
      <c r="L98" s="707"/>
      <c r="M98" s="707"/>
      <c r="N98" s="707"/>
      <c r="O98" s="707"/>
      <c r="P98" s="707"/>
      <c r="Q98" s="707"/>
      <c r="R98" s="707"/>
      <c r="S98" s="707"/>
      <c r="T98" s="707"/>
      <c r="U98" s="707"/>
      <c r="V98" s="707"/>
      <c r="W98" s="707"/>
      <c r="X98" s="707"/>
      <c r="Y98" s="707"/>
      <c r="Z98" s="707"/>
      <c r="AA98" s="36" t="str">
        <f t="shared" si="82"/>
        <v/>
      </c>
      <c r="AB98" s="288" t="str">
        <f t="shared" si="54"/>
        <v/>
      </c>
      <c r="AC98" s="288" t="str">
        <f t="shared" si="55"/>
        <v/>
      </c>
      <c r="AD98" s="288" t="str">
        <f t="shared" si="56"/>
        <v/>
      </c>
      <c r="AE98" s="288" t="str">
        <f t="shared" si="57"/>
        <v/>
      </c>
      <c r="AF98" s="288" t="str">
        <f t="shared" si="58"/>
        <v/>
      </c>
      <c r="AG98" s="288" t="str">
        <f t="shared" si="59"/>
        <v/>
      </c>
      <c r="AH98" s="288" t="str">
        <f t="shared" si="60"/>
        <v/>
      </c>
      <c r="AI98" s="36">
        <f t="shared" si="61"/>
        <v>-1</v>
      </c>
      <c r="AJ98" s="36">
        <f t="shared" si="62"/>
        <v>-1</v>
      </c>
      <c r="AK98" s="36">
        <f t="shared" si="63"/>
        <v>-1</v>
      </c>
      <c r="AL98" s="36"/>
      <c r="AM98" s="36" t="str">
        <f t="shared" si="84"/>
        <v/>
      </c>
      <c r="AN98" s="288" t="str">
        <f t="shared" si="64"/>
        <v/>
      </c>
      <c r="AO98" s="288" t="str">
        <f t="shared" si="65"/>
        <v/>
      </c>
      <c r="AP98" s="288" t="str">
        <f t="shared" si="66"/>
        <v/>
      </c>
      <c r="AQ98" s="36">
        <f t="shared" ref="AQ98:AS98" si="116">AQ97</f>
        <v>3.3793103448275866E-2</v>
      </c>
      <c r="AR98" s="36">
        <f t="shared" si="116"/>
        <v>5.9329425287356324E-2</v>
      </c>
      <c r="AS98" s="36">
        <f t="shared" si="116"/>
        <v>8.4865747126436797E-2</v>
      </c>
      <c r="AT98" s="288">
        <f t="shared" si="68"/>
        <v>0.11040206896551726</v>
      </c>
    </row>
    <row r="99" spans="2:46">
      <c r="B99" s="287"/>
      <c r="C99" s="707"/>
      <c r="D99" s="707"/>
      <c r="E99" s="707"/>
      <c r="F99" s="707"/>
      <c r="G99" s="707"/>
      <c r="H99" s="707"/>
      <c r="I99" s="707"/>
      <c r="J99" s="707"/>
      <c r="K99" s="707"/>
      <c r="L99" s="707"/>
      <c r="M99" s="707"/>
      <c r="N99" s="707"/>
      <c r="O99" s="707"/>
      <c r="P99" s="707"/>
      <c r="Q99" s="707"/>
      <c r="R99" s="707"/>
      <c r="S99" s="707"/>
      <c r="T99" s="707"/>
      <c r="U99" s="707"/>
      <c r="V99" s="707"/>
      <c r="W99" s="707"/>
      <c r="X99" s="707"/>
      <c r="Y99" s="707"/>
      <c r="Z99" s="707"/>
      <c r="AA99" s="36" t="str">
        <f t="shared" si="82"/>
        <v/>
      </c>
      <c r="AB99" s="288" t="str">
        <f t="shared" si="54"/>
        <v/>
      </c>
      <c r="AC99" s="288" t="str">
        <f t="shared" si="55"/>
        <v/>
      </c>
      <c r="AD99" s="288" t="str">
        <f t="shared" si="56"/>
        <v/>
      </c>
      <c r="AE99" s="288" t="str">
        <f t="shared" si="57"/>
        <v/>
      </c>
      <c r="AF99" s="288" t="str">
        <f t="shared" si="58"/>
        <v/>
      </c>
      <c r="AG99" s="288" t="str">
        <f t="shared" si="59"/>
        <v/>
      </c>
      <c r="AH99" s="288" t="str">
        <f t="shared" si="60"/>
        <v/>
      </c>
      <c r="AI99" s="36">
        <f t="shared" si="61"/>
        <v>-1</v>
      </c>
      <c r="AJ99" s="36">
        <f t="shared" si="62"/>
        <v>-1</v>
      </c>
      <c r="AK99" s="36">
        <f t="shared" si="63"/>
        <v>-1</v>
      </c>
      <c r="AL99" s="36"/>
      <c r="AM99" s="36" t="str">
        <f t="shared" si="84"/>
        <v/>
      </c>
      <c r="AN99" s="288" t="str">
        <f t="shared" si="64"/>
        <v/>
      </c>
      <c r="AO99" s="288" t="str">
        <f t="shared" si="65"/>
        <v/>
      </c>
      <c r="AP99" s="288" t="str">
        <f t="shared" si="66"/>
        <v/>
      </c>
      <c r="AQ99" s="36">
        <f t="shared" ref="AQ99:AS99" si="117">AQ98</f>
        <v>3.3793103448275866E-2</v>
      </c>
      <c r="AR99" s="36">
        <f t="shared" si="117"/>
        <v>5.9329425287356324E-2</v>
      </c>
      <c r="AS99" s="36">
        <f t="shared" si="117"/>
        <v>8.4865747126436797E-2</v>
      </c>
      <c r="AT99" s="288">
        <f t="shared" si="68"/>
        <v>0.11040206896551726</v>
      </c>
    </row>
    <row r="100" spans="2:46">
      <c r="B100" s="287"/>
      <c r="C100" s="707"/>
      <c r="D100" s="707"/>
      <c r="E100" s="707"/>
      <c r="F100" s="707"/>
      <c r="G100" s="707"/>
      <c r="H100" s="707"/>
      <c r="I100" s="707"/>
      <c r="J100" s="707"/>
      <c r="K100" s="707"/>
      <c r="L100" s="707"/>
      <c r="M100" s="707"/>
      <c r="N100" s="707"/>
      <c r="O100" s="707"/>
      <c r="P100" s="707"/>
      <c r="Q100" s="707"/>
      <c r="R100" s="707"/>
      <c r="S100" s="707"/>
      <c r="T100" s="707"/>
      <c r="U100" s="707"/>
      <c r="V100" s="707"/>
      <c r="W100" s="707"/>
      <c r="X100" s="707"/>
      <c r="Y100" s="707"/>
      <c r="Z100" s="707"/>
      <c r="AA100" s="36" t="str">
        <f t="shared" si="82"/>
        <v/>
      </c>
      <c r="AB100" s="288" t="str">
        <f t="shared" si="54"/>
        <v/>
      </c>
      <c r="AC100" s="288" t="str">
        <f t="shared" si="55"/>
        <v/>
      </c>
      <c r="AD100" s="288" t="str">
        <f t="shared" si="56"/>
        <v/>
      </c>
      <c r="AE100" s="288" t="str">
        <f t="shared" si="57"/>
        <v/>
      </c>
      <c r="AF100" s="288" t="str">
        <f t="shared" si="58"/>
        <v/>
      </c>
      <c r="AG100" s="288" t="str">
        <f t="shared" si="59"/>
        <v/>
      </c>
      <c r="AH100" s="288" t="str">
        <f t="shared" si="60"/>
        <v/>
      </c>
      <c r="AI100" s="36">
        <f t="shared" si="61"/>
        <v>-1</v>
      </c>
      <c r="AJ100" s="36">
        <f t="shared" si="62"/>
        <v>-1</v>
      </c>
      <c r="AK100" s="36">
        <f t="shared" si="63"/>
        <v>-1</v>
      </c>
      <c r="AL100" s="36"/>
      <c r="AM100" s="36" t="str">
        <f t="shared" si="84"/>
        <v/>
      </c>
      <c r="AN100" s="288" t="str">
        <f t="shared" si="64"/>
        <v/>
      </c>
      <c r="AO100" s="288" t="str">
        <f t="shared" si="65"/>
        <v/>
      </c>
      <c r="AP100" s="288" t="str">
        <f t="shared" si="66"/>
        <v/>
      </c>
      <c r="AQ100" s="36">
        <f t="shared" ref="AQ100:AS100" si="118">AQ99</f>
        <v>3.3793103448275866E-2</v>
      </c>
      <c r="AR100" s="36">
        <f t="shared" si="118"/>
        <v>5.9329425287356324E-2</v>
      </c>
      <c r="AS100" s="36">
        <f t="shared" si="118"/>
        <v>8.4865747126436797E-2</v>
      </c>
      <c r="AT100" s="288">
        <f t="shared" si="68"/>
        <v>0.11040206896551726</v>
      </c>
    </row>
    <row r="101" spans="2:46">
      <c r="B101" s="287"/>
      <c r="C101" s="707"/>
      <c r="D101" s="707"/>
      <c r="E101" s="707"/>
      <c r="F101" s="707"/>
      <c r="G101" s="707"/>
      <c r="H101" s="707"/>
      <c r="I101" s="707"/>
      <c r="J101" s="707"/>
      <c r="K101" s="707"/>
      <c r="L101" s="707"/>
      <c r="M101" s="707"/>
      <c r="N101" s="707"/>
      <c r="O101" s="707"/>
      <c r="P101" s="707"/>
      <c r="Q101" s="707"/>
      <c r="R101" s="707"/>
      <c r="S101" s="707"/>
      <c r="T101" s="707"/>
      <c r="U101" s="707"/>
      <c r="V101" s="707"/>
      <c r="W101" s="707"/>
      <c r="X101" s="707"/>
      <c r="Y101" s="707"/>
      <c r="Z101" s="707"/>
      <c r="AA101" s="36" t="str">
        <f t="shared" si="82"/>
        <v/>
      </c>
      <c r="AB101" s="288" t="str">
        <f t="shared" si="54"/>
        <v/>
      </c>
      <c r="AC101" s="288" t="str">
        <f t="shared" si="55"/>
        <v/>
      </c>
      <c r="AD101" s="288" t="str">
        <f t="shared" si="56"/>
        <v/>
      </c>
      <c r="AE101" s="288" t="str">
        <f t="shared" si="57"/>
        <v/>
      </c>
      <c r="AF101" s="288" t="str">
        <f t="shared" si="58"/>
        <v/>
      </c>
      <c r="AG101" s="288" t="str">
        <f t="shared" si="59"/>
        <v/>
      </c>
      <c r="AH101" s="288" t="str">
        <f t="shared" si="60"/>
        <v/>
      </c>
      <c r="AI101" s="36">
        <f t="shared" si="61"/>
        <v>-1</v>
      </c>
      <c r="AJ101" s="36">
        <f t="shared" si="62"/>
        <v>-1</v>
      </c>
      <c r="AK101" s="36">
        <f t="shared" si="63"/>
        <v>-1</v>
      </c>
      <c r="AL101" s="36"/>
      <c r="AM101" s="36" t="str">
        <f t="shared" si="84"/>
        <v/>
      </c>
      <c r="AN101" s="288" t="str">
        <f t="shared" si="64"/>
        <v/>
      </c>
      <c r="AO101" s="288" t="str">
        <f t="shared" si="65"/>
        <v/>
      </c>
      <c r="AP101" s="288" t="str">
        <f t="shared" si="66"/>
        <v/>
      </c>
      <c r="AQ101" s="36">
        <f t="shared" ref="AQ101:AS101" si="119">AQ100</f>
        <v>3.3793103448275866E-2</v>
      </c>
      <c r="AR101" s="36">
        <f t="shared" si="119"/>
        <v>5.9329425287356324E-2</v>
      </c>
      <c r="AS101" s="36">
        <f t="shared" si="119"/>
        <v>8.4865747126436797E-2</v>
      </c>
      <c r="AT101" s="288">
        <f t="shared" si="68"/>
        <v>0.11040206896551726</v>
      </c>
    </row>
    <row r="102" spans="2:46">
      <c r="B102" s="287"/>
      <c r="C102" s="707"/>
      <c r="D102" s="707"/>
      <c r="E102" s="707"/>
      <c r="F102" s="707"/>
      <c r="G102" s="707"/>
      <c r="H102" s="707"/>
      <c r="I102" s="707"/>
      <c r="J102" s="707"/>
      <c r="K102" s="707"/>
      <c r="L102" s="707"/>
      <c r="M102" s="707"/>
      <c r="N102" s="707"/>
      <c r="O102" s="707"/>
      <c r="P102" s="707"/>
      <c r="Q102" s="707"/>
      <c r="R102" s="707"/>
      <c r="S102" s="707"/>
      <c r="T102" s="707"/>
      <c r="U102" s="707"/>
      <c r="V102" s="707"/>
      <c r="W102" s="707"/>
      <c r="X102" s="707"/>
      <c r="Y102" s="707"/>
      <c r="Z102" s="707"/>
      <c r="AA102" s="36" t="str">
        <f t="shared" si="82"/>
        <v/>
      </c>
      <c r="AB102" s="288" t="str">
        <f t="shared" si="54"/>
        <v/>
      </c>
      <c r="AC102" s="288" t="str">
        <f t="shared" si="55"/>
        <v/>
      </c>
      <c r="AD102" s="288" t="str">
        <f t="shared" si="56"/>
        <v/>
      </c>
      <c r="AE102" s="288" t="str">
        <f t="shared" si="57"/>
        <v/>
      </c>
      <c r="AF102" s="288" t="str">
        <f t="shared" si="58"/>
        <v/>
      </c>
      <c r="AG102" s="288" t="str">
        <f t="shared" si="59"/>
        <v/>
      </c>
      <c r="AH102" s="288" t="str">
        <f t="shared" si="60"/>
        <v/>
      </c>
      <c r="AI102" s="36">
        <f t="shared" si="61"/>
        <v>-1</v>
      </c>
      <c r="AJ102" s="36">
        <f t="shared" si="62"/>
        <v>-1</v>
      </c>
      <c r="AK102" s="36">
        <f t="shared" si="63"/>
        <v>-1</v>
      </c>
      <c r="AL102" s="36"/>
      <c r="AM102" s="36" t="str">
        <f t="shared" si="84"/>
        <v/>
      </c>
      <c r="AN102" s="288" t="str">
        <f t="shared" si="64"/>
        <v/>
      </c>
      <c r="AO102" s="288" t="str">
        <f t="shared" si="65"/>
        <v/>
      </c>
      <c r="AP102" s="288" t="str">
        <f t="shared" si="66"/>
        <v/>
      </c>
      <c r="AQ102" s="36">
        <f t="shared" ref="AQ102:AS102" si="120">AQ101</f>
        <v>3.3793103448275866E-2</v>
      </c>
      <c r="AR102" s="36">
        <f t="shared" si="120"/>
        <v>5.9329425287356324E-2</v>
      </c>
      <c r="AS102" s="36">
        <f t="shared" si="120"/>
        <v>8.4865747126436797E-2</v>
      </c>
      <c r="AT102" s="288">
        <f t="shared" si="68"/>
        <v>0.11040206896551726</v>
      </c>
    </row>
    <row r="103" spans="2:46">
      <c r="B103" s="287"/>
      <c r="C103" s="707"/>
      <c r="D103" s="707"/>
      <c r="E103" s="707"/>
      <c r="F103" s="707"/>
      <c r="G103" s="707"/>
      <c r="H103" s="707"/>
      <c r="I103" s="707"/>
      <c r="J103" s="707"/>
      <c r="K103" s="707"/>
      <c r="L103" s="707"/>
      <c r="M103" s="707"/>
      <c r="N103" s="707"/>
      <c r="O103" s="707"/>
      <c r="P103" s="707"/>
      <c r="Q103" s="707"/>
      <c r="R103" s="707"/>
      <c r="S103" s="707"/>
      <c r="T103" s="707"/>
      <c r="U103" s="707"/>
      <c r="V103" s="707"/>
      <c r="W103" s="707"/>
      <c r="X103" s="707"/>
      <c r="Y103" s="707"/>
      <c r="Z103" s="707"/>
      <c r="AA103" s="36" t="str">
        <f t="shared" si="82"/>
        <v/>
      </c>
      <c r="AB103" s="288" t="str">
        <f t="shared" si="54"/>
        <v/>
      </c>
      <c r="AC103" s="288" t="str">
        <f t="shared" si="55"/>
        <v/>
      </c>
      <c r="AD103" s="288" t="str">
        <f t="shared" si="56"/>
        <v/>
      </c>
      <c r="AE103" s="288" t="str">
        <f t="shared" si="57"/>
        <v/>
      </c>
      <c r="AF103" s="288" t="str">
        <f t="shared" si="58"/>
        <v/>
      </c>
      <c r="AG103" s="288" t="str">
        <f t="shared" si="59"/>
        <v/>
      </c>
      <c r="AH103" s="288" t="str">
        <f t="shared" si="60"/>
        <v/>
      </c>
      <c r="AI103" s="36">
        <f t="shared" si="61"/>
        <v>-1</v>
      </c>
      <c r="AJ103" s="36">
        <f t="shared" si="62"/>
        <v>-1</v>
      </c>
      <c r="AK103" s="36">
        <f t="shared" si="63"/>
        <v>-1</v>
      </c>
      <c r="AL103" s="36"/>
      <c r="AM103" s="36" t="str">
        <f t="shared" si="84"/>
        <v/>
      </c>
      <c r="AN103" s="288" t="str">
        <f t="shared" si="64"/>
        <v/>
      </c>
      <c r="AO103" s="288" t="str">
        <f t="shared" si="65"/>
        <v/>
      </c>
      <c r="AP103" s="288" t="str">
        <f t="shared" si="66"/>
        <v/>
      </c>
      <c r="AQ103" s="36">
        <f t="shared" ref="AQ103:AS103" si="121">AQ102</f>
        <v>3.3793103448275866E-2</v>
      </c>
      <c r="AR103" s="36">
        <f t="shared" si="121"/>
        <v>5.9329425287356324E-2</v>
      </c>
      <c r="AS103" s="36">
        <f t="shared" si="121"/>
        <v>8.4865747126436797E-2</v>
      </c>
      <c r="AT103" s="288">
        <f t="shared" si="68"/>
        <v>0.11040206896551726</v>
      </c>
    </row>
    <row r="104" spans="2:46">
      <c r="B104" s="287"/>
      <c r="C104" s="707"/>
      <c r="D104" s="707"/>
      <c r="E104" s="707"/>
      <c r="F104" s="707"/>
      <c r="G104" s="707"/>
      <c r="H104" s="707"/>
      <c r="I104" s="707"/>
      <c r="J104" s="707"/>
      <c r="K104" s="707"/>
      <c r="L104" s="707"/>
      <c r="M104" s="707"/>
      <c r="N104" s="707"/>
      <c r="O104" s="707"/>
      <c r="P104" s="707"/>
      <c r="Q104" s="707"/>
      <c r="R104" s="707"/>
      <c r="S104" s="707"/>
      <c r="T104" s="707"/>
      <c r="U104" s="707"/>
      <c r="V104" s="707"/>
      <c r="W104" s="707"/>
      <c r="X104" s="707"/>
      <c r="Y104" s="707"/>
      <c r="Z104" s="707"/>
      <c r="AA104" s="36" t="str">
        <f t="shared" si="82"/>
        <v/>
      </c>
      <c r="AB104" s="288" t="str">
        <f t="shared" si="54"/>
        <v/>
      </c>
      <c r="AC104" s="288" t="str">
        <f t="shared" si="55"/>
        <v/>
      </c>
      <c r="AD104" s="288" t="str">
        <f t="shared" si="56"/>
        <v/>
      </c>
      <c r="AE104" s="288" t="str">
        <f t="shared" si="57"/>
        <v/>
      </c>
      <c r="AF104" s="288" t="str">
        <f t="shared" si="58"/>
        <v/>
      </c>
      <c r="AG104" s="288" t="str">
        <f t="shared" si="59"/>
        <v/>
      </c>
      <c r="AH104" s="288" t="str">
        <f t="shared" si="60"/>
        <v/>
      </c>
      <c r="AI104" s="36">
        <f t="shared" si="61"/>
        <v>-1</v>
      </c>
      <c r="AJ104" s="36">
        <f t="shared" si="62"/>
        <v>-1</v>
      </c>
      <c r="AK104" s="36">
        <f t="shared" si="63"/>
        <v>-1</v>
      </c>
      <c r="AL104" s="36"/>
      <c r="AM104" s="36" t="str">
        <f t="shared" si="84"/>
        <v/>
      </c>
      <c r="AN104" s="288" t="str">
        <f t="shared" si="64"/>
        <v/>
      </c>
      <c r="AO104" s="288" t="str">
        <f t="shared" si="65"/>
        <v/>
      </c>
      <c r="AP104" s="288" t="str">
        <f t="shared" si="66"/>
        <v/>
      </c>
      <c r="AQ104" s="36">
        <f t="shared" ref="AQ104:AS104" si="122">AQ103</f>
        <v>3.3793103448275866E-2</v>
      </c>
      <c r="AR104" s="36">
        <f t="shared" si="122"/>
        <v>5.9329425287356324E-2</v>
      </c>
      <c r="AS104" s="36">
        <f t="shared" si="122"/>
        <v>8.4865747126436797E-2</v>
      </c>
      <c r="AT104" s="288">
        <f t="shared" si="68"/>
        <v>0.11040206896551726</v>
      </c>
    </row>
    <row r="105" spans="2:46">
      <c r="B105" s="287"/>
      <c r="C105" s="707"/>
      <c r="D105" s="707"/>
      <c r="E105" s="707"/>
      <c r="F105" s="707"/>
      <c r="G105" s="707"/>
      <c r="H105" s="707"/>
      <c r="I105" s="707"/>
      <c r="J105" s="707"/>
      <c r="K105" s="707"/>
      <c r="L105" s="707"/>
      <c r="M105" s="707"/>
      <c r="N105" s="707"/>
      <c r="O105" s="707"/>
      <c r="P105" s="707"/>
      <c r="Q105" s="707"/>
      <c r="R105" s="707"/>
      <c r="S105" s="707"/>
      <c r="T105" s="707"/>
      <c r="U105" s="707"/>
      <c r="V105" s="707"/>
      <c r="W105" s="707"/>
      <c r="X105" s="707"/>
      <c r="Y105" s="707"/>
      <c r="Z105" s="707"/>
      <c r="AA105" s="36" t="str">
        <f t="shared" si="82"/>
        <v/>
      </c>
      <c r="AB105" s="288" t="str">
        <f t="shared" si="54"/>
        <v/>
      </c>
      <c r="AC105" s="288" t="str">
        <f t="shared" si="55"/>
        <v/>
      </c>
      <c r="AD105" s="288" t="str">
        <f t="shared" si="56"/>
        <v/>
      </c>
      <c r="AE105" s="288" t="str">
        <f t="shared" si="57"/>
        <v/>
      </c>
      <c r="AF105" s="288" t="str">
        <f t="shared" si="58"/>
        <v/>
      </c>
      <c r="AG105" s="288" t="str">
        <f t="shared" si="59"/>
        <v/>
      </c>
      <c r="AH105" s="288" t="str">
        <f t="shared" si="60"/>
        <v/>
      </c>
      <c r="AI105" s="36">
        <f t="shared" si="61"/>
        <v>-1</v>
      </c>
      <c r="AJ105" s="36">
        <f t="shared" si="62"/>
        <v>-1</v>
      </c>
      <c r="AK105" s="36">
        <f t="shared" si="63"/>
        <v>-1</v>
      </c>
      <c r="AL105" s="36"/>
      <c r="AM105" s="36" t="str">
        <f t="shared" si="84"/>
        <v/>
      </c>
      <c r="AN105" s="288" t="str">
        <f t="shared" si="64"/>
        <v/>
      </c>
      <c r="AO105" s="288" t="str">
        <f t="shared" si="65"/>
        <v/>
      </c>
      <c r="AP105" s="288" t="str">
        <f t="shared" si="66"/>
        <v/>
      </c>
      <c r="AQ105" s="36">
        <f t="shared" ref="AQ105:AS105" si="123">AQ104</f>
        <v>3.3793103448275866E-2</v>
      </c>
      <c r="AR105" s="36">
        <f t="shared" si="123"/>
        <v>5.9329425287356324E-2</v>
      </c>
      <c r="AS105" s="36">
        <f t="shared" si="123"/>
        <v>8.4865747126436797E-2</v>
      </c>
      <c r="AT105" s="288">
        <f t="shared" si="68"/>
        <v>0.11040206896551726</v>
      </c>
    </row>
    <row r="106" spans="2:46">
      <c r="B106" s="287"/>
      <c r="C106" s="707"/>
      <c r="D106" s="707"/>
      <c r="E106" s="707"/>
      <c r="F106" s="707"/>
      <c r="G106" s="707"/>
      <c r="H106" s="707"/>
      <c r="I106" s="707"/>
      <c r="J106" s="707"/>
      <c r="K106" s="707"/>
      <c r="L106" s="707"/>
      <c r="M106" s="707"/>
      <c r="N106" s="707"/>
      <c r="O106" s="707"/>
      <c r="P106" s="707"/>
      <c r="Q106" s="707"/>
      <c r="R106" s="707"/>
      <c r="S106" s="707"/>
      <c r="T106" s="707"/>
      <c r="U106" s="707"/>
      <c r="V106" s="707"/>
      <c r="W106" s="707"/>
      <c r="X106" s="707"/>
      <c r="Y106" s="707"/>
      <c r="Z106" s="707"/>
      <c r="AA106" s="36" t="str">
        <f t="shared" si="82"/>
        <v/>
      </c>
      <c r="AB106" s="288" t="str">
        <f t="shared" si="54"/>
        <v/>
      </c>
      <c r="AC106" s="288" t="str">
        <f t="shared" si="55"/>
        <v/>
      </c>
      <c r="AD106" s="288" t="str">
        <f t="shared" si="56"/>
        <v/>
      </c>
      <c r="AE106" s="288" t="str">
        <f t="shared" si="57"/>
        <v/>
      </c>
      <c r="AF106" s="288" t="str">
        <f t="shared" si="58"/>
        <v/>
      </c>
      <c r="AG106" s="288" t="str">
        <f t="shared" si="59"/>
        <v/>
      </c>
      <c r="AH106" s="288" t="str">
        <f t="shared" si="60"/>
        <v/>
      </c>
      <c r="AI106" s="36">
        <f t="shared" si="61"/>
        <v>-1</v>
      </c>
      <c r="AJ106" s="36">
        <f t="shared" si="62"/>
        <v>-1</v>
      </c>
      <c r="AK106" s="36">
        <f t="shared" si="63"/>
        <v>-1</v>
      </c>
      <c r="AL106" s="36"/>
      <c r="AM106" s="36" t="str">
        <f t="shared" si="84"/>
        <v/>
      </c>
      <c r="AN106" s="288" t="str">
        <f t="shared" si="64"/>
        <v/>
      </c>
      <c r="AO106" s="288" t="str">
        <f t="shared" si="65"/>
        <v/>
      </c>
      <c r="AP106" s="288" t="str">
        <f t="shared" si="66"/>
        <v/>
      </c>
      <c r="AQ106" s="36">
        <f t="shared" ref="AQ106:AS106" si="124">AQ105</f>
        <v>3.3793103448275866E-2</v>
      </c>
      <c r="AR106" s="36">
        <f t="shared" si="124"/>
        <v>5.9329425287356324E-2</v>
      </c>
      <c r="AS106" s="36">
        <f t="shared" si="124"/>
        <v>8.4865747126436797E-2</v>
      </c>
      <c r="AT106" s="288">
        <f t="shared" si="68"/>
        <v>0.11040206896551726</v>
      </c>
    </row>
    <row r="107" spans="2:46">
      <c r="B107" s="287"/>
      <c r="C107" s="707"/>
      <c r="D107" s="707"/>
      <c r="E107" s="707"/>
      <c r="F107" s="707"/>
      <c r="G107" s="707"/>
      <c r="H107" s="707"/>
      <c r="I107" s="707"/>
      <c r="J107" s="707"/>
      <c r="K107" s="707"/>
      <c r="L107" s="707"/>
      <c r="M107" s="707"/>
      <c r="N107" s="707"/>
      <c r="O107" s="707"/>
      <c r="P107" s="707"/>
      <c r="Q107" s="707"/>
      <c r="R107" s="707"/>
      <c r="S107" s="707"/>
      <c r="T107" s="707"/>
      <c r="U107" s="707"/>
      <c r="V107" s="707"/>
      <c r="W107" s="707"/>
      <c r="X107" s="707"/>
      <c r="Y107" s="707"/>
      <c r="Z107" s="707"/>
      <c r="AA107" s="36" t="str">
        <f t="shared" si="82"/>
        <v/>
      </c>
      <c r="AB107" s="288" t="str">
        <f t="shared" si="54"/>
        <v/>
      </c>
      <c r="AC107" s="288" t="str">
        <f t="shared" si="55"/>
        <v/>
      </c>
      <c r="AD107" s="288" t="str">
        <f t="shared" si="56"/>
        <v/>
      </c>
      <c r="AE107" s="288" t="str">
        <f t="shared" si="57"/>
        <v/>
      </c>
      <c r="AF107" s="288" t="str">
        <f t="shared" si="58"/>
        <v/>
      </c>
      <c r="AG107" s="288" t="str">
        <f t="shared" si="59"/>
        <v/>
      </c>
      <c r="AH107" s="288" t="str">
        <f t="shared" si="60"/>
        <v/>
      </c>
      <c r="AI107" s="36">
        <f t="shared" si="61"/>
        <v>-1</v>
      </c>
      <c r="AJ107" s="36">
        <f t="shared" si="62"/>
        <v>-1</v>
      </c>
      <c r="AK107" s="36">
        <f t="shared" si="63"/>
        <v>-1</v>
      </c>
      <c r="AL107" s="36"/>
      <c r="AM107" s="36" t="str">
        <f t="shared" si="84"/>
        <v/>
      </c>
      <c r="AN107" s="288" t="str">
        <f t="shared" si="64"/>
        <v/>
      </c>
      <c r="AO107" s="288" t="str">
        <f t="shared" si="65"/>
        <v/>
      </c>
      <c r="AP107" s="288" t="str">
        <f t="shared" si="66"/>
        <v/>
      </c>
      <c r="AQ107" s="36">
        <f t="shared" ref="AQ107:AS107" si="125">AQ106</f>
        <v>3.3793103448275866E-2</v>
      </c>
      <c r="AR107" s="36">
        <f t="shared" si="125"/>
        <v>5.9329425287356324E-2</v>
      </c>
      <c r="AS107" s="36">
        <f t="shared" si="125"/>
        <v>8.4865747126436797E-2</v>
      </c>
      <c r="AT107" s="288">
        <f t="shared" si="68"/>
        <v>0.11040206896551726</v>
      </c>
    </row>
    <row r="108" spans="2:46">
      <c r="B108" s="287"/>
      <c r="C108" s="707"/>
      <c r="D108" s="707"/>
      <c r="E108" s="707"/>
      <c r="F108" s="707"/>
      <c r="G108" s="707"/>
      <c r="H108" s="707"/>
      <c r="I108" s="707"/>
      <c r="J108" s="707"/>
      <c r="K108" s="707"/>
      <c r="L108" s="707"/>
      <c r="M108" s="707"/>
      <c r="N108" s="707"/>
      <c r="O108" s="707"/>
      <c r="P108" s="707"/>
      <c r="Q108" s="707"/>
      <c r="R108" s="707"/>
      <c r="S108" s="707"/>
      <c r="T108" s="707"/>
      <c r="U108" s="707"/>
      <c r="V108" s="707"/>
      <c r="W108" s="707"/>
      <c r="X108" s="707"/>
      <c r="Y108" s="707"/>
      <c r="Z108" s="707"/>
      <c r="AA108" s="36" t="str">
        <f t="shared" si="82"/>
        <v/>
      </c>
      <c r="AB108" s="288" t="str">
        <f t="shared" si="54"/>
        <v/>
      </c>
      <c r="AC108" s="288" t="str">
        <f t="shared" si="55"/>
        <v/>
      </c>
      <c r="AD108" s="288" t="str">
        <f t="shared" si="56"/>
        <v/>
      </c>
      <c r="AE108" s="288" t="str">
        <f t="shared" si="57"/>
        <v/>
      </c>
      <c r="AF108" s="288" t="str">
        <f t="shared" si="58"/>
        <v/>
      </c>
      <c r="AG108" s="288" t="str">
        <f t="shared" si="59"/>
        <v/>
      </c>
      <c r="AH108" s="288" t="str">
        <f t="shared" si="60"/>
        <v/>
      </c>
      <c r="AI108" s="36">
        <f t="shared" si="61"/>
        <v>-1</v>
      </c>
      <c r="AJ108" s="36">
        <f t="shared" si="62"/>
        <v>-1</v>
      </c>
      <c r="AK108" s="36">
        <f t="shared" si="63"/>
        <v>-1</v>
      </c>
      <c r="AL108" s="36"/>
      <c r="AM108" s="36" t="str">
        <f t="shared" si="84"/>
        <v/>
      </c>
      <c r="AN108" s="288" t="str">
        <f t="shared" si="64"/>
        <v/>
      </c>
      <c r="AO108" s="288" t="str">
        <f t="shared" si="65"/>
        <v/>
      </c>
      <c r="AP108" s="288" t="str">
        <f t="shared" si="66"/>
        <v/>
      </c>
      <c r="AQ108" s="36">
        <f t="shared" ref="AQ108:AS108" si="126">AQ107</f>
        <v>3.3793103448275866E-2</v>
      </c>
      <c r="AR108" s="36">
        <f t="shared" si="126"/>
        <v>5.9329425287356324E-2</v>
      </c>
      <c r="AS108" s="36">
        <f t="shared" si="126"/>
        <v>8.4865747126436797E-2</v>
      </c>
      <c r="AT108" s="288">
        <f t="shared" si="68"/>
        <v>0.11040206896551726</v>
      </c>
    </row>
    <row r="109" spans="2:46">
      <c r="B109" s="287"/>
      <c r="C109" s="707"/>
      <c r="D109" s="707"/>
      <c r="E109" s="707"/>
      <c r="F109" s="707"/>
      <c r="G109" s="707"/>
      <c r="H109" s="707"/>
      <c r="I109" s="707"/>
      <c r="J109" s="707"/>
      <c r="K109" s="707"/>
      <c r="L109" s="707"/>
      <c r="M109" s="707"/>
      <c r="N109" s="707"/>
      <c r="O109" s="707"/>
      <c r="P109" s="707"/>
      <c r="Q109" s="707"/>
      <c r="R109" s="707"/>
      <c r="S109" s="707"/>
      <c r="T109" s="707"/>
      <c r="U109" s="707"/>
      <c r="V109" s="707"/>
      <c r="W109" s="707"/>
      <c r="X109" s="707"/>
      <c r="Y109" s="707"/>
      <c r="Z109" s="707"/>
      <c r="AA109" s="36" t="str">
        <f t="shared" si="82"/>
        <v/>
      </c>
      <c r="AB109" s="288" t="str">
        <f t="shared" si="54"/>
        <v/>
      </c>
      <c r="AC109" s="288" t="str">
        <f t="shared" si="55"/>
        <v/>
      </c>
      <c r="AD109" s="288" t="str">
        <f t="shared" si="56"/>
        <v/>
      </c>
      <c r="AE109" s="288" t="str">
        <f t="shared" si="57"/>
        <v/>
      </c>
      <c r="AF109" s="288" t="str">
        <f t="shared" si="58"/>
        <v/>
      </c>
      <c r="AG109" s="288" t="str">
        <f t="shared" si="59"/>
        <v/>
      </c>
      <c r="AH109" s="288" t="str">
        <f t="shared" si="60"/>
        <v/>
      </c>
      <c r="AI109" s="36">
        <f t="shared" si="61"/>
        <v>-1</v>
      </c>
      <c r="AJ109" s="36">
        <f t="shared" si="62"/>
        <v>-1</v>
      </c>
      <c r="AK109" s="36">
        <f t="shared" si="63"/>
        <v>-1</v>
      </c>
      <c r="AL109" s="36"/>
      <c r="AM109" s="36" t="str">
        <f t="shared" si="84"/>
        <v/>
      </c>
      <c r="AN109" s="288" t="str">
        <f t="shared" si="64"/>
        <v/>
      </c>
      <c r="AO109" s="288" t="str">
        <f t="shared" si="65"/>
        <v/>
      </c>
      <c r="AP109" s="288" t="str">
        <f t="shared" si="66"/>
        <v/>
      </c>
      <c r="AQ109" s="36">
        <f t="shared" ref="AQ109:AS109" si="127">AQ108</f>
        <v>3.3793103448275866E-2</v>
      </c>
      <c r="AR109" s="36">
        <f t="shared" si="127"/>
        <v>5.9329425287356324E-2</v>
      </c>
      <c r="AS109" s="36">
        <f t="shared" si="127"/>
        <v>8.4865747126436797E-2</v>
      </c>
      <c r="AT109" s="288">
        <f t="shared" si="68"/>
        <v>0.11040206896551726</v>
      </c>
    </row>
    <row r="110" spans="2:46">
      <c r="B110" s="287"/>
      <c r="C110" s="707"/>
      <c r="D110" s="707"/>
      <c r="E110" s="707"/>
      <c r="F110" s="707"/>
      <c r="G110" s="707"/>
      <c r="H110" s="707"/>
      <c r="I110" s="707"/>
      <c r="J110" s="707"/>
      <c r="K110" s="707"/>
      <c r="L110" s="707"/>
      <c r="M110" s="707"/>
      <c r="N110" s="707"/>
      <c r="O110" s="707"/>
      <c r="P110" s="707"/>
      <c r="Q110" s="707"/>
      <c r="R110" s="707"/>
      <c r="S110" s="707"/>
      <c r="T110" s="707"/>
      <c r="U110" s="707"/>
      <c r="V110" s="707"/>
      <c r="W110" s="707"/>
      <c r="X110" s="707"/>
      <c r="Y110" s="707"/>
      <c r="Z110" s="707"/>
      <c r="AA110" s="36" t="str">
        <f t="shared" si="82"/>
        <v/>
      </c>
      <c r="AB110" s="288" t="str">
        <f t="shared" si="54"/>
        <v/>
      </c>
      <c r="AC110" s="288" t="str">
        <f t="shared" si="55"/>
        <v/>
      </c>
      <c r="AD110" s="288" t="str">
        <f t="shared" si="56"/>
        <v/>
      </c>
      <c r="AE110" s="288" t="str">
        <f t="shared" si="57"/>
        <v/>
      </c>
      <c r="AF110" s="288" t="str">
        <f t="shared" si="58"/>
        <v/>
      </c>
      <c r="AG110" s="288" t="str">
        <f t="shared" si="59"/>
        <v/>
      </c>
      <c r="AH110" s="288" t="str">
        <f t="shared" si="60"/>
        <v/>
      </c>
      <c r="AI110" s="36">
        <f t="shared" si="61"/>
        <v>-1</v>
      </c>
      <c r="AJ110" s="36">
        <f t="shared" si="62"/>
        <v>-1</v>
      </c>
      <c r="AK110" s="36">
        <f t="shared" si="63"/>
        <v>-1</v>
      </c>
      <c r="AL110" s="36"/>
      <c r="AM110" s="36" t="str">
        <f t="shared" si="84"/>
        <v/>
      </c>
      <c r="AN110" s="288" t="str">
        <f t="shared" si="64"/>
        <v/>
      </c>
      <c r="AO110" s="288" t="str">
        <f t="shared" si="65"/>
        <v/>
      </c>
      <c r="AP110" s="288" t="str">
        <f t="shared" si="66"/>
        <v/>
      </c>
      <c r="AQ110" s="36">
        <f t="shared" ref="AQ110:AS110" si="128">AQ109</f>
        <v>3.3793103448275866E-2</v>
      </c>
      <c r="AR110" s="36">
        <f t="shared" si="128"/>
        <v>5.9329425287356324E-2</v>
      </c>
      <c r="AS110" s="36">
        <f t="shared" si="128"/>
        <v>8.4865747126436797E-2</v>
      </c>
      <c r="AT110" s="288">
        <f t="shared" si="68"/>
        <v>0.11040206896551726</v>
      </c>
    </row>
    <row r="111" spans="2:46">
      <c r="B111" s="287"/>
      <c r="C111" s="707"/>
      <c r="D111" s="707"/>
      <c r="E111" s="707"/>
      <c r="F111" s="707"/>
      <c r="G111" s="707"/>
      <c r="H111" s="707"/>
      <c r="I111" s="707"/>
      <c r="J111" s="707"/>
      <c r="K111" s="707"/>
      <c r="L111" s="707"/>
      <c r="M111" s="707"/>
      <c r="N111" s="707"/>
      <c r="O111" s="707"/>
      <c r="P111" s="707"/>
      <c r="Q111" s="707"/>
      <c r="R111" s="707"/>
      <c r="S111" s="707"/>
      <c r="T111" s="707"/>
      <c r="U111" s="707"/>
      <c r="V111" s="707"/>
      <c r="W111" s="707"/>
      <c r="X111" s="707"/>
      <c r="Y111" s="707"/>
      <c r="Z111" s="707"/>
      <c r="AA111" s="36" t="str">
        <f t="shared" si="82"/>
        <v/>
      </c>
      <c r="AB111" s="288" t="str">
        <f t="shared" si="54"/>
        <v/>
      </c>
      <c r="AC111" s="288" t="str">
        <f t="shared" si="55"/>
        <v/>
      </c>
      <c r="AD111" s="288" t="str">
        <f t="shared" si="56"/>
        <v/>
      </c>
      <c r="AE111" s="288" t="str">
        <f t="shared" si="57"/>
        <v/>
      </c>
      <c r="AF111" s="288" t="str">
        <f t="shared" si="58"/>
        <v/>
      </c>
      <c r="AG111" s="288" t="str">
        <f t="shared" si="59"/>
        <v/>
      </c>
      <c r="AH111" s="288" t="str">
        <f t="shared" si="60"/>
        <v/>
      </c>
      <c r="AI111" s="36">
        <f t="shared" si="61"/>
        <v>-1</v>
      </c>
      <c r="AJ111" s="36">
        <f t="shared" si="62"/>
        <v>-1</v>
      </c>
      <c r="AK111" s="36">
        <f t="shared" si="63"/>
        <v>-1</v>
      </c>
      <c r="AL111" s="36"/>
      <c r="AM111" s="36" t="str">
        <f t="shared" si="84"/>
        <v/>
      </c>
      <c r="AN111" s="288" t="str">
        <f t="shared" si="64"/>
        <v/>
      </c>
      <c r="AO111" s="288" t="str">
        <f t="shared" si="65"/>
        <v/>
      </c>
      <c r="AP111" s="288" t="str">
        <f t="shared" si="66"/>
        <v/>
      </c>
      <c r="AQ111" s="36">
        <f t="shared" ref="AQ111:AS111" si="129">AQ110</f>
        <v>3.3793103448275866E-2</v>
      </c>
      <c r="AR111" s="36">
        <f t="shared" si="129"/>
        <v>5.9329425287356324E-2</v>
      </c>
      <c r="AS111" s="36">
        <f t="shared" si="129"/>
        <v>8.4865747126436797E-2</v>
      </c>
      <c r="AT111" s="288">
        <f t="shared" si="68"/>
        <v>0.11040206896551726</v>
      </c>
    </row>
    <row r="112" spans="2:46">
      <c r="B112" s="287"/>
      <c r="C112" s="707"/>
      <c r="D112" s="707"/>
      <c r="E112" s="707"/>
      <c r="F112" s="707"/>
      <c r="G112" s="707"/>
      <c r="H112" s="707"/>
      <c r="I112" s="707"/>
      <c r="J112" s="707"/>
      <c r="K112" s="707"/>
      <c r="L112" s="707"/>
      <c r="M112" s="707"/>
      <c r="N112" s="707"/>
      <c r="O112" s="707"/>
      <c r="P112" s="707"/>
      <c r="Q112" s="707"/>
      <c r="R112" s="707"/>
      <c r="S112" s="707"/>
      <c r="T112" s="707"/>
      <c r="U112" s="707"/>
      <c r="V112" s="707"/>
      <c r="W112" s="707"/>
      <c r="X112" s="707"/>
      <c r="Y112" s="707"/>
      <c r="Z112" s="707"/>
      <c r="AA112" s="36" t="str">
        <f t="shared" si="82"/>
        <v/>
      </c>
      <c r="AB112" s="288" t="str">
        <f t="shared" si="54"/>
        <v/>
      </c>
      <c r="AC112" s="288" t="str">
        <f t="shared" si="55"/>
        <v/>
      </c>
      <c r="AD112" s="288" t="str">
        <f t="shared" si="56"/>
        <v/>
      </c>
      <c r="AE112" s="288" t="str">
        <f t="shared" si="57"/>
        <v/>
      </c>
      <c r="AF112" s="288" t="str">
        <f t="shared" si="58"/>
        <v/>
      </c>
      <c r="AG112" s="288" t="str">
        <f t="shared" si="59"/>
        <v/>
      </c>
      <c r="AH112" s="288" t="str">
        <f t="shared" si="60"/>
        <v/>
      </c>
      <c r="AI112" s="36">
        <f t="shared" si="61"/>
        <v>-1</v>
      </c>
      <c r="AJ112" s="36">
        <f t="shared" si="62"/>
        <v>-1</v>
      </c>
      <c r="AK112" s="36">
        <f t="shared" si="63"/>
        <v>-1</v>
      </c>
      <c r="AL112" s="36"/>
      <c r="AM112" s="36" t="str">
        <f t="shared" si="84"/>
        <v/>
      </c>
      <c r="AN112" s="288" t="str">
        <f t="shared" si="64"/>
        <v/>
      </c>
      <c r="AO112" s="288" t="str">
        <f t="shared" si="65"/>
        <v/>
      </c>
      <c r="AP112" s="288" t="str">
        <f t="shared" si="66"/>
        <v/>
      </c>
      <c r="AQ112" s="36">
        <f t="shared" ref="AQ112:AS112" si="130">AQ111</f>
        <v>3.3793103448275866E-2</v>
      </c>
      <c r="AR112" s="36">
        <f t="shared" si="130"/>
        <v>5.9329425287356324E-2</v>
      </c>
      <c r="AS112" s="36">
        <f t="shared" si="130"/>
        <v>8.4865747126436797E-2</v>
      </c>
      <c r="AT112" s="288">
        <f t="shared" si="68"/>
        <v>0.11040206896551726</v>
      </c>
    </row>
    <row r="113" spans="2:46">
      <c r="B113" s="287"/>
      <c r="C113" s="707"/>
      <c r="D113" s="707"/>
      <c r="E113" s="707"/>
      <c r="F113" s="707"/>
      <c r="G113" s="707"/>
      <c r="H113" s="707"/>
      <c r="I113" s="707"/>
      <c r="J113" s="707"/>
      <c r="K113" s="707"/>
      <c r="L113" s="707"/>
      <c r="M113" s="707"/>
      <c r="N113" s="707"/>
      <c r="O113" s="707"/>
      <c r="P113" s="707"/>
      <c r="Q113" s="707"/>
      <c r="R113" s="707"/>
      <c r="S113" s="707"/>
      <c r="T113" s="707"/>
      <c r="U113" s="707"/>
      <c r="V113" s="707"/>
      <c r="W113" s="707"/>
      <c r="X113" s="707"/>
      <c r="Y113" s="707"/>
      <c r="Z113" s="707"/>
      <c r="AA113" s="36" t="str">
        <f t="shared" si="82"/>
        <v/>
      </c>
      <c r="AB113" s="288" t="str">
        <f t="shared" si="54"/>
        <v/>
      </c>
      <c r="AC113" s="288" t="str">
        <f t="shared" si="55"/>
        <v/>
      </c>
      <c r="AD113" s="288" t="str">
        <f t="shared" si="56"/>
        <v/>
      </c>
      <c r="AE113" s="288" t="str">
        <f t="shared" si="57"/>
        <v/>
      </c>
      <c r="AF113" s="288" t="str">
        <f t="shared" si="58"/>
        <v/>
      </c>
      <c r="AG113" s="288" t="str">
        <f t="shared" si="59"/>
        <v/>
      </c>
      <c r="AH113" s="288" t="str">
        <f t="shared" si="60"/>
        <v/>
      </c>
      <c r="AI113" s="36">
        <f t="shared" si="61"/>
        <v>-1</v>
      </c>
      <c r="AJ113" s="36">
        <f t="shared" si="62"/>
        <v>-1</v>
      </c>
      <c r="AK113" s="36">
        <f t="shared" si="63"/>
        <v>-1</v>
      </c>
      <c r="AL113" s="36"/>
      <c r="AM113" s="36" t="str">
        <f t="shared" si="84"/>
        <v/>
      </c>
      <c r="AN113" s="288" t="str">
        <f t="shared" si="64"/>
        <v/>
      </c>
      <c r="AO113" s="288" t="str">
        <f t="shared" si="65"/>
        <v/>
      </c>
      <c r="AP113" s="288" t="str">
        <f t="shared" si="66"/>
        <v/>
      </c>
      <c r="AQ113" s="36">
        <f t="shared" ref="AQ113:AS113" si="131">AQ112</f>
        <v>3.3793103448275866E-2</v>
      </c>
      <c r="AR113" s="36">
        <f t="shared" si="131"/>
        <v>5.9329425287356324E-2</v>
      </c>
      <c r="AS113" s="36">
        <f t="shared" si="131"/>
        <v>8.4865747126436797E-2</v>
      </c>
      <c r="AT113" s="288">
        <f t="shared" si="68"/>
        <v>0.11040206896551726</v>
      </c>
    </row>
    <row r="114" spans="2:46">
      <c r="B114" s="287"/>
      <c r="C114" s="707"/>
      <c r="D114" s="707"/>
      <c r="E114" s="707"/>
      <c r="F114" s="707"/>
      <c r="G114" s="707"/>
      <c r="H114" s="707"/>
      <c r="I114" s="707"/>
      <c r="J114" s="707"/>
      <c r="K114" s="707"/>
      <c r="L114" s="707"/>
      <c r="M114" s="707"/>
      <c r="N114" s="707"/>
      <c r="O114" s="707"/>
      <c r="P114" s="707"/>
      <c r="Q114" s="707"/>
      <c r="R114" s="707"/>
      <c r="S114" s="707"/>
      <c r="T114" s="707"/>
      <c r="U114" s="707"/>
      <c r="V114" s="707"/>
      <c r="W114" s="707"/>
      <c r="X114" s="707"/>
      <c r="Y114" s="707"/>
      <c r="Z114" s="707"/>
      <c r="AA114" s="36" t="str">
        <f t="shared" si="82"/>
        <v/>
      </c>
      <c r="AB114" s="288" t="str">
        <f t="shared" si="54"/>
        <v/>
      </c>
      <c r="AC114" s="288" t="str">
        <f t="shared" si="55"/>
        <v/>
      </c>
      <c r="AD114" s="288" t="str">
        <f t="shared" si="56"/>
        <v/>
      </c>
      <c r="AE114" s="288" t="str">
        <f t="shared" si="57"/>
        <v/>
      </c>
      <c r="AF114" s="288" t="str">
        <f t="shared" si="58"/>
        <v/>
      </c>
      <c r="AG114" s="288" t="str">
        <f t="shared" si="59"/>
        <v/>
      </c>
      <c r="AH114" s="288" t="str">
        <f t="shared" si="60"/>
        <v/>
      </c>
      <c r="AI114" s="36">
        <f t="shared" si="61"/>
        <v>-1</v>
      </c>
      <c r="AJ114" s="36">
        <f t="shared" si="62"/>
        <v>-1</v>
      </c>
      <c r="AK114" s="36">
        <f t="shared" si="63"/>
        <v>-1</v>
      </c>
      <c r="AL114" s="36"/>
      <c r="AM114" s="36" t="str">
        <f t="shared" si="84"/>
        <v/>
      </c>
      <c r="AN114" s="288" t="str">
        <f t="shared" si="64"/>
        <v/>
      </c>
      <c r="AO114" s="288" t="str">
        <f t="shared" si="65"/>
        <v/>
      </c>
      <c r="AP114" s="288" t="str">
        <f t="shared" si="66"/>
        <v/>
      </c>
      <c r="AQ114" s="36">
        <f t="shared" ref="AQ114:AS114" si="132">AQ113</f>
        <v>3.3793103448275866E-2</v>
      </c>
      <c r="AR114" s="36">
        <f t="shared" si="132"/>
        <v>5.9329425287356324E-2</v>
      </c>
      <c r="AS114" s="36">
        <f t="shared" si="132"/>
        <v>8.4865747126436797E-2</v>
      </c>
      <c r="AT114" s="288">
        <f t="shared" si="68"/>
        <v>0.11040206896551726</v>
      </c>
    </row>
    <row r="115" spans="2:46">
      <c r="B115" s="287"/>
      <c r="C115" s="707"/>
      <c r="D115" s="707"/>
      <c r="E115" s="707"/>
      <c r="F115" s="707"/>
      <c r="G115" s="707"/>
      <c r="H115" s="707"/>
      <c r="I115" s="707"/>
      <c r="J115" s="707"/>
      <c r="K115" s="707"/>
      <c r="L115" s="707"/>
      <c r="M115" s="707"/>
      <c r="N115" s="707"/>
      <c r="O115" s="707"/>
      <c r="P115" s="707"/>
      <c r="Q115" s="707"/>
      <c r="R115" s="707"/>
      <c r="S115" s="707"/>
      <c r="T115" s="707"/>
      <c r="U115" s="707"/>
      <c r="V115" s="707"/>
      <c r="W115" s="707"/>
      <c r="X115" s="707"/>
      <c r="Y115" s="707"/>
      <c r="Z115" s="707"/>
      <c r="AA115" s="36" t="str">
        <f t="shared" si="82"/>
        <v/>
      </c>
      <c r="AB115" s="288" t="str">
        <f t="shared" si="54"/>
        <v/>
      </c>
      <c r="AC115" s="288" t="str">
        <f t="shared" si="55"/>
        <v/>
      </c>
      <c r="AD115" s="288" t="str">
        <f t="shared" si="56"/>
        <v/>
      </c>
      <c r="AE115" s="288" t="str">
        <f t="shared" si="57"/>
        <v/>
      </c>
      <c r="AF115" s="288" t="str">
        <f t="shared" si="58"/>
        <v/>
      </c>
      <c r="AG115" s="288" t="str">
        <f t="shared" si="59"/>
        <v/>
      </c>
      <c r="AH115" s="288" t="str">
        <f t="shared" si="60"/>
        <v/>
      </c>
      <c r="AI115" s="36">
        <f t="shared" si="61"/>
        <v>-1</v>
      </c>
      <c r="AJ115" s="36">
        <f t="shared" si="62"/>
        <v>-1</v>
      </c>
      <c r="AK115" s="36">
        <f t="shared" si="63"/>
        <v>-1</v>
      </c>
      <c r="AL115" s="36"/>
      <c r="AM115" s="36" t="str">
        <f t="shared" si="84"/>
        <v/>
      </c>
      <c r="AN115" s="288" t="str">
        <f t="shared" si="64"/>
        <v/>
      </c>
      <c r="AO115" s="288" t="str">
        <f t="shared" si="65"/>
        <v/>
      </c>
      <c r="AP115" s="288" t="str">
        <f t="shared" si="66"/>
        <v/>
      </c>
      <c r="AQ115" s="36">
        <f t="shared" ref="AQ115:AS115" si="133">AQ114</f>
        <v>3.3793103448275866E-2</v>
      </c>
      <c r="AR115" s="36">
        <f t="shared" si="133"/>
        <v>5.9329425287356324E-2</v>
      </c>
      <c r="AS115" s="36">
        <f t="shared" si="133"/>
        <v>8.4865747126436797E-2</v>
      </c>
      <c r="AT115" s="288">
        <f t="shared" si="68"/>
        <v>0.11040206896551726</v>
      </c>
    </row>
    <row r="116" spans="2:46">
      <c r="B116" s="287"/>
      <c r="C116" s="707"/>
      <c r="D116" s="707"/>
      <c r="E116" s="707"/>
      <c r="F116" s="707"/>
      <c r="G116" s="707"/>
      <c r="H116" s="707"/>
      <c r="I116" s="707"/>
      <c r="J116" s="707"/>
      <c r="K116" s="707"/>
      <c r="L116" s="707"/>
      <c r="M116" s="707"/>
      <c r="N116" s="707"/>
      <c r="O116" s="707"/>
      <c r="P116" s="707"/>
      <c r="Q116" s="707"/>
      <c r="R116" s="707"/>
      <c r="S116" s="707"/>
      <c r="T116" s="707"/>
      <c r="U116" s="707"/>
      <c r="V116" s="707"/>
      <c r="W116" s="707"/>
      <c r="X116" s="707"/>
      <c r="Y116" s="707"/>
      <c r="Z116" s="707"/>
      <c r="AA116" s="36" t="str">
        <f t="shared" si="82"/>
        <v/>
      </c>
      <c r="AB116" s="288" t="str">
        <f t="shared" ref="AB116:AB179" si="134">IF(AA116="", "", AE116-(3*STDEV(AA:AA)))</f>
        <v/>
      </c>
      <c r="AC116" s="288" t="str">
        <f t="shared" ref="AC116:AC179" si="135">IF(AA116="", "",AE116-(2*STDEV(AA:AA)))</f>
        <v/>
      </c>
      <c r="AD116" s="288" t="str">
        <f t="shared" ref="AD116:AD179" si="136">IF(AA116="", "", AE116-STDEV(AA:AA))</f>
        <v/>
      </c>
      <c r="AE116" s="288" t="str">
        <f t="shared" ref="AE116:AE179" si="137">IF(AA116="", "", AVERAGE(AA:AA))</f>
        <v/>
      </c>
      <c r="AF116" s="288" t="str">
        <f t="shared" ref="AF116:AF179" si="138">IF(AC116="", "", AE116+STDEV(AA:AA))</f>
        <v/>
      </c>
      <c r="AG116" s="288" t="str">
        <f t="shared" ref="AG116:AG179" si="139">IF(AE116="", "",AE116+(2*STDEV(AA:AA)))</f>
        <v/>
      </c>
      <c r="AH116" s="288" t="str">
        <f t="shared" ref="AH116:AH179" si="140">IF(AG116="", "", AE116+(3*STDEV(AA:AA)))</f>
        <v/>
      </c>
      <c r="AI116" s="36">
        <f t="shared" ref="AI116:AI179" si="141">IF(OR(AA116&gt;AH116,AA116&lt;AB116),AA116,-1)</f>
        <v>-1</v>
      </c>
      <c r="AJ116" s="36">
        <f t="shared" ref="AJ116:AJ179" si="142">IF(IF(AA115&gt;AG115,1,0)+IF(AA116&gt;AG116,1,0)+IF(AA117&gt;AG117,1,0)+IF(AA115&lt;AC115,1,0)+IF(AA116&lt;AC116,1,0)+IF(AA117&lt;AC117,1,0)&gt;=2,AA116,-1)</f>
        <v>-1</v>
      </c>
      <c r="AK116" s="36">
        <f t="shared" ref="AK116:AK179" si="143">IF(IF(AA114&lt;AD114,1,0)+IF(AA116&lt;AD116,1,0)+IF(AA117&lt;AD117,1,0)+IF(AA118&lt;AD118,1,0)+IF(AA115&lt;AD115,1,0)+IF(AA114&gt;AF114,1,0)+IF(AA115&gt;AF115,1,0)+IF(AA116&gt;AF116,1,0)+IF(AA117&gt;AF117,1,0)+IF(AA118&gt;AF118,1,0)&gt;4,AA116,-1)</f>
        <v>-1</v>
      </c>
      <c r="AL116" s="36"/>
      <c r="AM116" s="36" t="str">
        <f t="shared" si="84"/>
        <v/>
      </c>
      <c r="AN116" s="288" t="str">
        <f t="shared" ref="AN116:AN179" si="144">IF(AM116="", "", AQ116-(3*STDEV(AM:AM)))</f>
        <v/>
      </c>
      <c r="AO116" s="288" t="str">
        <f t="shared" ref="AO116:AO179" si="145">IF(AM116="", "", IF($AQ116-(2*(($AT116-$AQ116)/3))&lt;0, 0, $AQ116-(2*(($AT116-$AQ116)/3))))</f>
        <v/>
      </c>
      <c r="AP116" s="288" t="str">
        <f t="shared" ref="AP116:AP179" si="146">IF(AM116="", "", IF($AQ116-(($AT116-$AQ116)/3)&lt;0, 0, $AQ115-(($AT115-$AQ115)/3)))</f>
        <v/>
      </c>
      <c r="AQ116" s="36">
        <f t="shared" ref="AQ116:AS116" si="147">AQ115</f>
        <v>3.3793103448275866E-2</v>
      </c>
      <c r="AR116" s="36">
        <f t="shared" si="147"/>
        <v>5.9329425287356324E-2</v>
      </c>
      <c r="AS116" s="36">
        <f t="shared" si="147"/>
        <v>8.4865747126436797E-2</v>
      </c>
      <c r="AT116" s="288">
        <f t="shared" ref="AT116:AT179" si="148">$BM$3*AQ116</f>
        <v>0.11040206896551726</v>
      </c>
    </row>
    <row r="117" spans="2:46">
      <c r="B117" s="287"/>
      <c r="C117" s="707"/>
      <c r="D117" s="707"/>
      <c r="E117" s="707"/>
      <c r="F117" s="707"/>
      <c r="G117" s="707"/>
      <c r="H117" s="707"/>
      <c r="I117" s="707"/>
      <c r="J117" s="707"/>
      <c r="K117" s="707"/>
      <c r="L117" s="707"/>
      <c r="M117" s="707"/>
      <c r="N117" s="707"/>
      <c r="O117" s="707"/>
      <c r="P117" s="707"/>
      <c r="Q117" s="707"/>
      <c r="R117" s="707"/>
      <c r="S117" s="707"/>
      <c r="T117" s="707"/>
      <c r="U117" s="707"/>
      <c r="V117" s="707"/>
      <c r="W117" s="707"/>
      <c r="X117" s="707"/>
      <c r="Y117" s="707"/>
      <c r="Z117" s="707"/>
      <c r="AA117" s="36" t="str">
        <f t="shared" si="82"/>
        <v/>
      </c>
      <c r="AB117" s="288" t="str">
        <f t="shared" si="134"/>
        <v/>
      </c>
      <c r="AC117" s="288" t="str">
        <f t="shared" si="135"/>
        <v/>
      </c>
      <c r="AD117" s="288" t="str">
        <f t="shared" si="136"/>
        <v/>
      </c>
      <c r="AE117" s="288" t="str">
        <f t="shared" si="137"/>
        <v/>
      </c>
      <c r="AF117" s="288" t="str">
        <f t="shared" si="138"/>
        <v/>
      </c>
      <c r="AG117" s="288" t="str">
        <f t="shared" si="139"/>
        <v/>
      </c>
      <c r="AH117" s="288" t="str">
        <f t="shared" si="140"/>
        <v/>
      </c>
      <c r="AI117" s="36">
        <f t="shared" si="141"/>
        <v>-1</v>
      </c>
      <c r="AJ117" s="36">
        <f t="shared" si="142"/>
        <v>-1</v>
      </c>
      <c r="AK117" s="36">
        <f t="shared" si="143"/>
        <v>-1</v>
      </c>
      <c r="AL117" s="36"/>
      <c r="AM117" s="36" t="str">
        <f t="shared" si="84"/>
        <v/>
      </c>
      <c r="AN117" s="288" t="str">
        <f t="shared" si="144"/>
        <v/>
      </c>
      <c r="AO117" s="288" t="str">
        <f t="shared" si="145"/>
        <v/>
      </c>
      <c r="AP117" s="288" t="str">
        <f t="shared" si="146"/>
        <v/>
      </c>
      <c r="AQ117" s="36">
        <f t="shared" ref="AQ117:AS117" si="149">AQ116</f>
        <v>3.3793103448275866E-2</v>
      </c>
      <c r="AR117" s="36">
        <f t="shared" si="149"/>
        <v>5.9329425287356324E-2</v>
      </c>
      <c r="AS117" s="36">
        <f t="shared" si="149"/>
        <v>8.4865747126436797E-2</v>
      </c>
      <c r="AT117" s="288">
        <f t="shared" si="148"/>
        <v>0.11040206896551726</v>
      </c>
    </row>
    <row r="118" spans="2:46">
      <c r="B118" s="287"/>
      <c r="C118" s="707"/>
      <c r="D118" s="707"/>
      <c r="E118" s="707"/>
      <c r="F118" s="707"/>
      <c r="G118" s="707"/>
      <c r="H118" s="707"/>
      <c r="I118" s="707"/>
      <c r="J118" s="707"/>
      <c r="K118" s="707"/>
      <c r="L118" s="707"/>
      <c r="M118" s="707"/>
      <c r="N118" s="707"/>
      <c r="O118" s="707"/>
      <c r="P118" s="707"/>
      <c r="Q118" s="707"/>
      <c r="R118" s="707"/>
      <c r="S118" s="707"/>
      <c r="T118" s="707"/>
      <c r="U118" s="707"/>
      <c r="V118" s="707"/>
      <c r="W118" s="707"/>
      <c r="X118" s="707"/>
      <c r="Y118" s="707"/>
      <c r="Z118" s="707"/>
      <c r="AA118" s="36" t="str">
        <f t="shared" si="82"/>
        <v/>
      </c>
      <c r="AB118" s="288" t="str">
        <f t="shared" si="134"/>
        <v/>
      </c>
      <c r="AC118" s="288" t="str">
        <f t="shared" si="135"/>
        <v/>
      </c>
      <c r="AD118" s="288" t="str">
        <f t="shared" si="136"/>
        <v/>
      </c>
      <c r="AE118" s="288" t="str">
        <f t="shared" si="137"/>
        <v/>
      </c>
      <c r="AF118" s="288" t="str">
        <f t="shared" si="138"/>
        <v/>
      </c>
      <c r="AG118" s="288" t="str">
        <f t="shared" si="139"/>
        <v/>
      </c>
      <c r="AH118" s="288" t="str">
        <f t="shared" si="140"/>
        <v/>
      </c>
      <c r="AI118" s="36">
        <f t="shared" si="141"/>
        <v>-1</v>
      </c>
      <c r="AJ118" s="36">
        <f t="shared" si="142"/>
        <v>-1</v>
      </c>
      <c r="AK118" s="36">
        <f t="shared" si="143"/>
        <v>-1</v>
      </c>
      <c r="AL118" s="36"/>
      <c r="AM118" s="36" t="str">
        <f t="shared" si="84"/>
        <v/>
      </c>
      <c r="AN118" s="288" t="str">
        <f t="shared" si="144"/>
        <v/>
      </c>
      <c r="AO118" s="288" t="str">
        <f t="shared" si="145"/>
        <v/>
      </c>
      <c r="AP118" s="288" t="str">
        <f t="shared" si="146"/>
        <v/>
      </c>
      <c r="AQ118" s="36">
        <f t="shared" ref="AQ118:AS118" si="150">AQ117</f>
        <v>3.3793103448275866E-2</v>
      </c>
      <c r="AR118" s="36">
        <f t="shared" si="150"/>
        <v>5.9329425287356324E-2</v>
      </c>
      <c r="AS118" s="36">
        <f t="shared" si="150"/>
        <v>8.4865747126436797E-2</v>
      </c>
      <c r="AT118" s="288">
        <f t="shared" si="148"/>
        <v>0.11040206896551726</v>
      </c>
    </row>
    <row r="119" spans="2:46">
      <c r="B119" s="287"/>
      <c r="C119" s="707"/>
      <c r="D119" s="707"/>
      <c r="E119" s="707"/>
      <c r="F119" s="707"/>
      <c r="G119" s="707"/>
      <c r="H119" s="707"/>
      <c r="I119" s="707"/>
      <c r="J119" s="707"/>
      <c r="K119" s="707"/>
      <c r="L119" s="707"/>
      <c r="M119" s="707"/>
      <c r="N119" s="707"/>
      <c r="O119" s="707"/>
      <c r="P119" s="707"/>
      <c r="Q119" s="707"/>
      <c r="R119" s="707"/>
      <c r="S119" s="707"/>
      <c r="T119" s="707"/>
      <c r="U119" s="707"/>
      <c r="V119" s="707"/>
      <c r="W119" s="707"/>
      <c r="X119" s="707"/>
      <c r="Y119" s="707"/>
      <c r="Z119" s="707"/>
      <c r="AA119" s="36" t="str">
        <f t="shared" si="82"/>
        <v/>
      </c>
      <c r="AB119" s="288" t="str">
        <f t="shared" si="134"/>
        <v/>
      </c>
      <c r="AC119" s="288" t="str">
        <f t="shared" si="135"/>
        <v/>
      </c>
      <c r="AD119" s="288" t="str">
        <f t="shared" si="136"/>
        <v/>
      </c>
      <c r="AE119" s="288" t="str">
        <f t="shared" si="137"/>
        <v/>
      </c>
      <c r="AF119" s="288" t="str">
        <f t="shared" si="138"/>
        <v/>
      </c>
      <c r="AG119" s="288" t="str">
        <f t="shared" si="139"/>
        <v/>
      </c>
      <c r="AH119" s="288" t="str">
        <f t="shared" si="140"/>
        <v/>
      </c>
      <c r="AI119" s="36">
        <f t="shared" si="141"/>
        <v>-1</v>
      </c>
      <c r="AJ119" s="36">
        <f t="shared" si="142"/>
        <v>-1</v>
      </c>
      <c r="AK119" s="36">
        <f t="shared" si="143"/>
        <v>-1</v>
      </c>
      <c r="AL119" s="36"/>
      <c r="AM119" s="36" t="str">
        <f t="shared" si="84"/>
        <v/>
      </c>
      <c r="AN119" s="288" t="str">
        <f t="shared" si="144"/>
        <v/>
      </c>
      <c r="AO119" s="288" t="str">
        <f t="shared" si="145"/>
        <v/>
      </c>
      <c r="AP119" s="288" t="str">
        <f t="shared" si="146"/>
        <v/>
      </c>
      <c r="AQ119" s="36">
        <f t="shared" ref="AQ119:AS119" si="151">AQ118</f>
        <v>3.3793103448275866E-2</v>
      </c>
      <c r="AR119" s="36">
        <f t="shared" si="151"/>
        <v>5.9329425287356324E-2</v>
      </c>
      <c r="AS119" s="36">
        <f t="shared" si="151"/>
        <v>8.4865747126436797E-2</v>
      </c>
      <c r="AT119" s="288">
        <f t="shared" si="148"/>
        <v>0.11040206896551726</v>
      </c>
    </row>
    <row r="120" spans="2:46">
      <c r="B120" s="287"/>
      <c r="C120" s="707"/>
      <c r="D120" s="707"/>
      <c r="E120" s="707"/>
      <c r="F120" s="707"/>
      <c r="G120" s="707"/>
      <c r="H120" s="707"/>
      <c r="I120" s="707"/>
      <c r="J120" s="707"/>
      <c r="K120" s="707"/>
      <c r="L120" s="707"/>
      <c r="M120" s="707"/>
      <c r="N120" s="707"/>
      <c r="O120" s="707"/>
      <c r="P120" s="707"/>
      <c r="Q120" s="707"/>
      <c r="R120" s="707"/>
      <c r="S120" s="707"/>
      <c r="T120" s="707"/>
      <c r="U120" s="707"/>
      <c r="V120" s="707"/>
      <c r="W120" s="707"/>
      <c r="X120" s="707"/>
      <c r="Y120" s="707"/>
      <c r="Z120" s="707"/>
      <c r="AA120" s="36" t="str">
        <f t="shared" si="82"/>
        <v/>
      </c>
      <c r="AB120" s="288" t="str">
        <f t="shared" si="134"/>
        <v/>
      </c>
      <c r="AC120" s="288" t="str">
        <f t="shared" si="135"/>
        <v/>
      </c>
      <c r="AD120" s="288" t="str">
        <f t="shared" si="136"/>
        <v/>
      </c>
      <c r="AE120" s="288" t="str">
        <f t="shared" si="137"/>
        <v/>
      </c>
      <c r="AF120" s="288" t="str">
        <f t="shared" si="138"/>
        <v/>
      </c>
      <c r="AG120" s="288" t="str">
        <f t="shared" si="139"/>
        <v/>
      </c>
      <c r="AH120" s="288" t="str">
        <f t="shared" si="140"/>
        <v/>
      </c>
      <c r="AI120" s="36">
        <f t="shared" si="141"/>
        <v>-1</v>
      </c>
      <c r="AJ120" s="36">
        <f t="shared" si="142"/>
        <v>-1</v>
      </c>
      <c r="AK120" s="36">
        <f t="shared" si="143"/>
        <v>-1</v>
      </c>
      <c r="AL120" s="36"/>
      <c r="AM120" s="36" t="str">
        <f t="shared" si="84"/>
        <v/>
      </c>
      <c r="AN120" s="288" t="str">
        <f t="shared" si="144"/>
        <v/>
      </c>
      <c r="AO120" s="288" t="str">
        <f t="shared" si="145"/>
        <v/>
      </c>
      <c r="AP120" s="288" t="str">
        <f t="shared" si="146"/>
        <v/>
      </c>
      <c r="AQ120" s="36">
        <f t="shared" ref="AQ120:AS120" si="152">AQ119</f>
        <v>3.3793103448275866E-2</v>
      </c>
      <c r="AR120" s="36">
        <f t="shared" si="152"/>
        <v>5.9329425287356324E-2</v>
      </c>
      <c r="AS120" s="36">
        <f t="shared" si="152"/>
        <v>8.4865747126436797E-2</v>
      </c>
      <c r="AT120" s="288">
        <f t="shared" si="148"/>
        <v>0.11040206896551726</v>
      </c>
    </row>
    <row r="121" spans="2:46">
      <c r="B121" s="287"/>
      <c r="C121" s="707"/>
      <c r="D121" s="707"/>
      <c r="E121" s="707"/>
      <c r="F121" s="707"/>
      <c r="G121" s="707"/>
      <c r="H121" s="707"/>
      <c r="I121" s="707"/>
      <c r="J121" s="707"/>
      <c r="K121" s="707"/>
      <c r="L121" s="707"/>
      <c r="M121" s="707"/>
      <c r="N121" s="707"/>
      <c r="O121" s="707"/>
      <c r="P121" s="707"/>
      <c r="Q121" s="707"/>
      <c r="R121" s="707"/>
      <c r="S121" s="707"/>
      <c r="T121" s="707"/>
      <c r="U121" s="707"/>
      <c r="V121" s="707"/>
      <c r="W121" s="707"/>
      <c r="X121" s="707"/>
      <c r="Y121" s="707"/>
      <c r="Z121" s="707"/>
      <c r="AA121" s="36" t="str">
        <f t="shared" si="82"/>
        <v/>
      </c>
      <c r="AB121" s="288" t="str">
        <f t="shared" si="134"/>
        <v/>
      </c>
      <c r="AC121" s="288" t="str">
        <f t="shared" si="135"/>
        <v/>
      </c>
      <c r="AD121" s="288" t="str">
        <f t="shared" si="136"/>
        <v/>
      </c>
      <c r="AE121" s="288" t="str">
        <f t="shared" si="137"/>
        <v/>
      </c>
      <c r="AF121" s="288" t="str">
        <f t="shared" si="138"/>
        <v/>
      </c>
      <c r="AG121" s="288" t="str">
        <f t="shared" si="139"/>
        <v/>
      </c>
      <c r="AH121" s="288" t="str">
        <f t="shared" si="140"/>
        <v/>
      </c>
      <c r="AI121" s="36">
        <f t="shared" si="141"/>
        <v>-1</v>
      </c>
      <c r="AJ121" s="36">
        <f t="shared" si="142"/>
        <v>-1</v>
      </c>
      <c r="AK121" s="36">
        <f t="shared" si="143"/>
        <v>-1</v>
      </c>
      <c r="AL121" s="36"/>
      <c r="AM121" s="36" t="str">
        <f t="shared" si="84"/>
        <v/>
      </c>
      <c r="AN121" s="288" t="str">
        <f t="shared" si="144"/>
        <v/>
      </c>
      <c r="AO121" s="288" t="str">
        <f t="shared" si="145"/>
        <v/>
      </c>
      <c r="AP121" s="288" t="str">
        <f t="shared" si="146"/>
        <v/>
      </c>
      <c r="AQ121" s="36">
        <f t="shared" ref="AQ121:AS121" si="153">AQ120</f>
        <v>3.3793103448275866E-2</v>
      </c>
      <c r="AR121" s="36">
        <f t="shared" si="153"/>
        <v>5.9329425287356324E-2</v>
      </c>
      <c r="AS121" s="36">
        <f t="shared" si="153"/>
        <v>8.4865747126436797E-2</v>
      </c>
      <c r="AT121" s="288">
        <f t="shared" si="148"/>
        <v>0.11040206896551726</v>
      </c>
    </row>
    <row r="122" spans="2:46">
      <c r="B122" s="287"/>
      <c r="C122" s="707"/>
      <c r="D122" s="707"/>
      <c r="E122" s="707"/>
      <c r="F122" s="707"/>
      <c r="G122" s="707"/>
      <c r="H122" s="707"/>
      <c r="I122" s="707"/>
      <c r="J122" s="707"/>
      <c r="K122" s="707"/>
      <c r="L122" s="707"/>
      <c r="M122" s="707"/>
      <c r="N122" s="707"/>
      <c r="O122" s="707"/>
      <c r="P122" s="707"/>
      <c r="Q122" s="707"/>
      <c r="R122" s="707"/>
      <c r="S122" s="707"/>
      <c r="T122" s="707"/>
      <c r="U122" s="707"/>
      <c r="V122" s="707"/>
      <c r="W122" s="707"/>
      <c r="X122" s="707"/>
      <c r="Y122" s="707"/>
      <c r="Z122" s="707"/>
      <c r="AA122" s="36" t="str">
        <f t="shared" si="82"/>
        <v/>
      </c>
      <c r="AB122" s="288" t="str">
        <f t="shared" si="134"/>
        <v/>
      </c>
      <c r="AC122" s="288" t="str">
        <f t="shared" si="135"/>
        <v/>
      </c>
      <c r="AD122" s="288" t="str">
        <f t="shared" si="136"/>
        <v/>
      </c>
      <c r="AE122" s="288" t="str">
        <f t="shared" si="137"/>
        <v/>
      </c>
      <c r="AF122" s="288" t="str">
        <f t="shared" si="138"/>
        <v/>
      </c>
      <c r="AG122" s="288" t="str">
        <f t="shared" si="139"/>
        <v/>
      </c>
      <c r="AH122" s="288" t="str">
        <f t="shared" si="140"/>
        <v/>
      </c>
      <c r="AI122" s="36">
        <f t="shared" si="141"/>
        <v>-1</v>
      </c>
      <c r="AJ122" s="36">
        <f t="shared" si="142"/>
        <v>-1</v>
      </c>
      <c r="AK122" s="36">
        <f t="shared" si="143"/>
        <v>-1</v>
      </c>
      <c r="AL122" s="36"/>
      <c r="AM122" s="36" t="str">
        <f t="shared" si="84"/>
        <v/>
      </c>
      <c r="AN122" s="288" t="str">
        <f t="shared" si="144"/>
        <v/>
      </c>
      <c r="AO122" s="288" t="str">
        <f t="shared" si="145"/>
        <v/>
      </c>
      <c r="AP122" s="288" t="str">
        <f t="shared" si="146"/>
        <v/>
      </c>
      <c r="AQ122" s="36">
        <f t="shared" ref="AQ122:AS122" si="154">AQ121</f>
        <v>3.3793103448275866E-2</v>
      </c>
      <c r="AR122" s="36">
        <f t="shared" si="154"/>
        <v>5.9329425287356324E-2</v>
      </c>
      <c r="AS122" s="36">
        <f t="shared" si="154"/>
        <v>8.4865747126436797E-2</v>
      </c>
      <c r="AT122" s="288">
        <f t="shared" si="148"/>
        <v>0.11040206896551726</v>
      </c>
    </row>
    <row r="123" spans="2:46">
      <c r="B123" s="287"/>
      <c r="C123" s="707"/>
      <c r="D123" s="707"/>
      <c r="E123" s="707"/>
      <c r="F123" s="707"/>
      <c r="G123" s="707"/>
      <c r="H123" s="707"/>
      <c r="I123" s="707"/>
      <c r="J123" s="707"/>
      <c r="K123" s="707"/>
      <c r="L123" s="707"/>
      <c r="M123" s="707"/>
      <c r="N123" s="707"/>
      <c r="O123" s="707"/>
      <c r="P123" s="707"/>
      <c r="Q123" s="707"/>
      <c r="R123" s="707"/>
      <c r="S123" s="707"/>
      <c r="T123" s="707"/>
      <c r="U123" s="707"/>
      <c r="V123" s="707"/>
      <c r="W123" s="707"/>
      <c r="X123" s="707"/>
      <c r="Y123" s="707"/>
      <c r="Z123" s="707"/>
      <c r="AA123" s="36" t="str">
        <f t="shared" si="82"/>
        <v/>
      </c>
      <c r="AB123" s="288" t="str">
        <f t="shared" si="134"/>
        <v/>
      </c>
      <c r="AC123" s="288" t="str">
        <f t="shared" si="135"/>
        <v/>
      </c>
      <c r="AD123" s="288" t="str">
        <f t="shared" si="136"/>
        <v/>
      </c>
      <c r="AE123" s="288" t="str">
        <f t="shared" si="137"/>
        <v/>
      </c>
      <c r="AF123" s="288" t="str">
        <f t="shared" si="138"/>
        <v/>
      </c>
      <c r="AG123" s="288" t="str">
        <f t="shared" si="139"/>
        <v/>
      </c>
      <c r="AH123" s="288" t="str">
        <f t="shared" si="140"/>
        <v/>
      </c>
      <c r="AI123" s="36">
        <f t="shared" si="141"/>
        <v>-1</v>
      </c>
      <c r="AJ123" s="36">
        <f t="shared" si="142"/>
        <v>-1</v>
      </c>
      <c r="AK123" s="36">
        <f t="shared" si="143"/>
        <v>-1</v>
      </c>
      <c r="AL123" s="36"/>
      <c r="AM123" s="36" t="str">
        <f t="shared" si="84"/>
        <v/>
      </c>
      <c r="AN123" s="288" t="str">
        <f t="shared" si="144"/>
        <v/>
      </c>
      <c r="AO123" s="288" t="str">
        <f t="shared" si="145"/>
        <v/>
      </c>
      <c r="AP123" s="288" t="str">
        <f t="shared" si="146"/>
        <v/>
      </c>
      <c r="AQ123" s="36">
        <f t="shared" ref="AQ123:AS123" si="155">AQ122</f>
        <v>3.3793103448275866E-2</v>
      </c>
      <c r="AR123" s="36">
        <f t="shared" si="155"/>
        <v>5.9329425287356324E-2</v>
      </c>
      <c r="AS123" s="36">
        <f t="shared" si="155"/>
        <v>8.4865747126436797E-2</v>
      </c>
      <c r="AT123" s="288">
        <f t="shared" si="148"/>
        <v>0.11040206896551726</v>
      </c>
    </row>
    <row r="124" spans="2:46">
      <c r="B124" s="287"/>
      <c r="C124" s="707"/>
      <c r="D124" s="707"/>
      <c r="E124" s="707"/>
      <c r="F124" s="707"/>
      <c r="G124" s="707"/>
      <c r="H124" s="707"/>
      <c r="I124" s="707"/>
      <c r="J124" s="707"/>
      <c r="K124" s="707"/>
      <c r="L124" s="707"/>
      <c r="M124" s="707"/>
      <c r="N124" s="707"/>
      <c r="O124" s="707"/>
      <c r="P124" s="707"/>
      <c r="Q124" s="707"/>
      <c r="R124" s="707"/>
      <c r="S124" s="707"/>
      <c r="T124" s="707"/>
      <c r="U124" s="707"/>
      <c r="V124" s="707"/>
      <c r="W124" s="707"/>
      <c r="X124" s="707"/>
      <c r="Y124" s="707"/>
      <c r="Z124" s="707"/>
      <c r="AA124" s="36" t="str">
        <f t="shared" si="82"/>
        <v/>
      </c>
      <c r="AB124" s="288" t="str">
        <f t="shared" si="134"/>
        <v/>
      </c>
      <c r="AC124" s="288" t="str">
        <f t="shared" si="135"/>
        <v/>
      </c>
      <c r="AD124" s="288" t="str">
        <f t="shared" si="136"/>
        <v/>
      </c>
      <c r="AE124" s="288" t="str">
        <f t="shared" si="137"/>
        <v/>
      </c>
      <c r="AF124" s="288" t="str">
        <f t="shared" si="138"/>
        <v/>
      </c>
      <c r="AG124" s="288" t="str">
        <f t="shared" si="139"/>
        <v/>
      </c>
      <c r="AH124" s="288" t="str">
        <f t="shared" si="140"/>
        <v/>
      </c>
      <c r="AI124" s="36">
        <f t="shared" si="141"/>
        <v>-1</v>
      </c>
      <c r="AJ124" s="36">
        <f t="shared" si="142"/>
        <v>-1</v>
      </c>
      <c r="AK124" s="36">
        <f t="shared" si="143"/>
        <v>-1</v>
      </c>
      <c r="AL124" s="36"/>
      <c r="AM124" s="36" t="str">
        <f t="shared" si="84"/>
        <v/>
      </c>
      <c r="AN124" s="288" t="str">
        <f t="shared" si="144"/>
        <v/>
      </c>
      <c r="AO124" s="288" t="str">
        <f t="shared" si="145"/>
        <v/>
      </c>
      <c r="AP124" s="288" t="str">
        <f t="shared" si="146"/>
        <v/>
      </c>
      <c r="AQ124" s="36">
        <f t="shared" ref="AQ124:AS124" si="156">AQ123</f>
        <v>3.3793103448275866E-2</v>
      </c>
      <c r="AR124" s="36">
        <f t="shared" si="156"/>
        <v>5.9329425287356324E-2</v>
      </c>
      <c r="AS124" s="36">
        <f t="shared" si="156"/>
        <v>8.4865747126436797E-2</v>
      </c>
      <c r="AT124" s="288">
        <f t="shared" si="148"/>
        <v>0.11040206896551726</v>
      </c>
    </row>
    <row r="125" spans="2:46">
      <c r="B125" s="287"/>
      <c r="C125" s="707"/>
      <c r="D125" s="707"/>
      <c r="E125" s="707"/>
      <c r="F125" s="707"/>
      <c r="G125" s="707"/>
      <c r="H125" s="707"/>
      <c r="I125" s="707"/>
      <c r="J125" s="707"/>
      <c r="K125" s="707"/>
      <c r="L125" s="707"/>
      <c r="M125" s="707"/>
      <c r="N125" s="707"/>
      <c r="O125" s="707"/>
      <c r="P125" s="707"/>
      <c r="Q125" s="707"/>
      <c r="R125" s="707"/>
      <c r="S125" s="707"/>
      <c r="T125" s="707"/>
      <c r="U125" s="707"/>
      <c r="V125" s="707"/>
      <c r="W125" s="707"/>
      <c r="X125" s="707"/>
      <c r="Y125" s="707"/>
      <c r="Z125" s="707"/>
      <c r="AA125" s="36" t="str">
        <f t="shared" si="82"/>
        <v/>
      </c>
      <c r="AB125" s="288" t="str">
        <f t="shared" si="134"/>
        <v/>
      </c>
      <c r="AC125" s="288" t="str">
        <f t="shared" si="135"/>
        <v/>
      </c>
      <c r="AD125" s="288" t="str">
        <f t="shared" si="136"/>
        <v/>
      </c>
      <c r="AE125" s="288" t="str">
        <f t="shared" si="137"/>
        <v/>
      </c>
      <c r="AF125" s="288" t="str">
        <f t="shared" si="138"/>
        <v/>
      </c>
      <c r="AG125" s="288" t="str">
        <f t="shared" si="139"/>
        <v/>
      </c>
      <c r="AH125" s="288" t="str">
        <f t="shared" si="140"/>
        <v/>
      </c>
      <c r="AI125" s="36">
        <f t="shared" si="141"/>
        <v>-1</v>
      </c>
      <c r="AJ125" s="36">
        <f t="shared" si="142"/>
        <v>-1</v>
      </c>
      <c r="AK125" s="36">
        <f t="shared" si="143"/>
        <v>-1</v>
      </c>
      <c r="AL125" s="36"/>
      <c r="AM125" s="36" t="str">
        <f t="shared" si="84"/>
        <v/>
      </c>
      <c r="AN125" s="288" t="str">
        <f t="shared" si="144"/>
        <v/>
      </c>
      <c r="AO125" s="288" t="str">
        <f t="shared" si="145"/>
        <v/>
      </c>
      <c r="AP125" s="288" t="str">
        <f t="shared" si="146"/>
        <v/>
      </c>
      <c r="AQ125" s="36">
        <f t="shared" ref="AQ125:AS125" si="157">AQ124</f>
        <v>3.3793103448275866E-2</v>
      </c>
      <c r="AR125" s="36">
        <f t="shared" si="157"/>
        <v>5.9329425287356324E-2</v>
      </c>
      <c r="AS125" s="36">
        <f t="shared" si="157"/>
        <v>8.4865747126436797E-2</v>
      </c>
      <c r="AT125" s="288">
        <f t="shared" si="148"/>
        <v>0.11040206896551726</v>
      </c>
    </row>
    <row r="126" spans="2:46">
      <c r="B126" s="287"/>
      <c r="C126" s="707"/>
      <c r="D126" s="707"/>
      <c r="E126" s="707"/>
      <c r="F126" s="707"/>
      <c r="G126" s="707"/>
      <c r="H126" s="707"/>
      <c r="I126" s="707"/>
      <c r="J126" s="707"/>
      <c r="K126" s="707"/>
      <c r="L126" s="707"/>
      <c r="M126" s="707"/>
      <c r="N126" s="707"/>
      <c r="O126" s="707"/>
      <c r="P126" s="707"/>
      <c r="Q126" s="707"/>
      <c r="R126" s="707"/>
      <c r="S126" s="707"/>
      <c r="T126" s="707"/>
      <c r="U126" s="707"/>
      <c r="V126" s="707"/>
      <c r="W126" s="707"/>
      <c r="X126" s="707"/>
      <c r="Y126" s="707"/>
      <c r="Z126" s="707"/>
      <c r="AA126" s="36" t="str">
        <f t="shared" si="82"/>
        <v/>
      </c>
      <c r="AB126" s="288" t="str">
        <f t="shared" si="134"/>
        <v/>
      </c>
      <c r="AC126" s="288" t="str">
        <f t="shared" si="135"/>
        <v/>
      </c>
      <c r="AD126" s="288" t="str">
        <f t="shared" si="136"/>
        <v/>
      </c>
      <c r="AE126" s="288" t="str">
        <f t="shared" si="137"/>
        <v/>
      </c>
      <c r="AF126" s="288" t="str">
        <f t="shared" si="138"/>
        <v/>
      </c>
      <c r="AG126" s="288" t="str">
        <f t="shared" si="139"/>
        <v/>
      </c>
      <c r="AH126" s="288" t="str">
        <f t="shared" si="140"/>
        <v/>
      </c>
      <c r="AI126" s="36">
        <f t="shared" si="141"/>
        <v>-1</v>
      </c>
      <c r="AJ126" s="36">
        <f t="shared" si="142"/>
        <v>-1</v>
      </c>
      <c r="AK126" s="36">
        <f t="shared" si="143"/>
        <v>-1</v>
      </c>
      <c r="AL126" s="36"/>
      <c r="AM126" s="36" t="str">
        <f t="shared" si="84"/>
        <v/>
      </c>
      <c r="AN126" s="288" t="str">
        <f t="shared" si="144"/>
        <v/>
      </c>
      <c r="AO126" s="288" t="str">
        <f t="shared" si="145"/>
        <v/>
      </c>
      <c r="AP126" s="288" t="str">
        <f t="shared" si="146"/>
        <v/>
      </c>
      <c r="AQ126" s="36">
        <f t="shared" ref="AQ126:AS126" si="158">AQ125</f>
        <v>3.3793103448275866E-2</v>
      </c>
      <c r="AR126" s="36">
        <f t="shared" si="158"/>
        <v>5.9329425287356324E-2</v>
      </c>
      <c r="AS126" s="36">
        <f t="shared" si="158"/>
        <v>8.4865747126436797E-2</v>
      </c>
      <c r="AT126" s="288">
        <f t="shared" si="148"/>
        <v>0.11040206896551726</v>
      </c>
    </row>
    <row r="127" spans="2:46">
      <c r="B127" s="287"/>
      <c r="C127" s="707"/>
      <c r="D127" s="707"/>
      <c r="E127" s="707"/>
      <c r="F127" s="707"/>
      <c r="G127" s="707"/>
      <c r="H127" s="707"/>
      <c r="I127" s="707"/>
      <c r="J127" s="707"/>
      <c r="K127" s="707"/>
      <c r="L127" s="707"/>
      <c r="M127" s="707"/>
      <c r="N127" s="707"/>
      <c r="O127" s="707"/>
      <c r="P127" s="707"/>
      <c r="Q127" s="707"/>
      <c r="R127" s="707"/>
      <c r="S127" s="707"/>
      <c r="T127" s="707"/>
      <c r="U127" s="707"/>
      <c r="V127" s="707"/>
      <c r="W127" s="707"/>
      <c r="X127" s="707"/>
      <c r="Y127" s="707"/>
      <c r="Z127" s="707"/>
      <c r="AA127" s="36" t="str">
        <f t="shared" si="82"/>
        <v/>
      </c>
      <c r="AB127" s="288" t="str">
        <f t="shared" si="134"/>
        <v/>
      </c>
      <c r="AC127" s="288" t="str">
        <f t="shared" si="135"/>
        <v/>
      </c>
      <c r="AD127" s="288" t="str">
        <f t="shared" si="136"/>
        <v/>
      </c>
      <c r="AE127" s="288" t="str">
        <f t="shared" si="137"/>
        <v/>
      </c>
      <c r="AF127" s="288" t="str">
        <f t="shared" si="138"/>
        <v/>
      </c>
      <c r="AG127" s="288" t="str">
        <f t="shared" si="139"/>
        <v/>
      </c>
      <c r="AH127" s="288" t="str">
        <f t="shared" si="140"/>
        <v/>
      </c>
      <c r="AI127" s="36">
        <f t="shared" si="141"/>
        <v>-1</v>
      </c>
      <c r="AJ127" s="36">
        <f t="shared" si="142"/>
        <v>-1</v>
      </c>
      <c r="AK127" s="36">
        <f t="shared" si="143"/>
        <v>-1</v>
      </c>
      <c r="AL127" s="36"/>
      <c r="AM127" s="36" t="str">
        <f t="shared" si="84"/>
        <v/>
      </c>
      <c r="AN127" s="288" t="str">
        <f t="shared" si="144"/>
        <v/>
      </c>
      <c r="AO127" s="288" t="str">
        <f t="shared" si="145"/>
        <v/>
      </c>
      <c r="AP127" s="288" t="str">
        <f t="shared" si="146"/>
        <v/>
      </c>
      <c r="AQ127" s="36">
        <f t="shared" ref="AQ127:AS127" si="159">AQ126</f>
        <v>3.3793103448275866E-2</v>
      </c>
      <c r="AR127" s="36">
        <f t="shared" si="159"/>
        <v>5.9329425287356324E-2</v>
      </c>
      <c r="AS127" s="36">
        <f t="shared" si="159"/>
        <v>8.4865747126436797E-2</v>
      </c>
      <c r="AT127" s="288">
        <f t="shared" si="148"/>
        <v>0.11040206896551726</v>
      </c>
    </row>
    <row r="128" spans="2:46">
      <c r="B128" s="287"/>
      <c r="C128" s="707"/>
      <c r="D128" s="707"/>
      <c r="E128" s="707"/>
      <c r="F128" s="707"/>
      <c r="G128" s="707"/>
      <c r="H128" s="707"/>
      <c r="I128" s="707"/>
      <c r="J128" s="707"/>
      <c r="K128" s="707"/>
      <c r="L128" s="707"/>
      <c r="M128" s="707"/>
      <c r="N128" s="707"/>
      <c r="O128" s="707"/>
      <c r="P128" s="707"/>
      <c r="Q128" s="707"/>
      <c r="R128" s="707"/>
      <c r="S128" s="707"/>
      <c r="T128" s="707"/>
      <c r="U128" s="707"/>
      <c r="V128" s="707"/>
      <c r="W128" s="707"/>
      <c r="X128" s="707"/>
      <c r="Y128" s="707"/>
      <c r="Z128" s="707"/>
      <c r="AA128" s="36" t="str">
        <f t="shared" si="82"/>
        <v/>
      </c>
      <c r="AB128" s="288" t="str">
        <f t="shared" si="134"/>
        <v/>
      </c>
      <c r="AC128" s="288" t="str">
        <f t="shared" si="135"/>
        <v/>
      </c>
      <c r="AD128" s="288" t="str">
        <f t="shared" si="136"/>
        <v/>
      </c>
      <c r="AE128" s="288" t="str">
        <f t="shared" si="137"/>
        <v/>
      </c>
      <c r="AF128" s="288" t="str">
        <f t="shared" si="138"/>
        <v/>
      </c>
      <c r="AG128" s="288" t="str">
        <f t="shared" si="139"/>
        <v/>
      </c>
      <c r="AH128" s="288" t="str">
        <f t="shared" si="140"/>
        <v/>
      </c>
      <c r="AI128" s="36">
        <f t="shared" si="141"/>
        <v>-1</v>
      </c>
      <c r="AJ128" s="36">
        <f t="shared" si="142"/>
        <v>-1</v>
      </c>
      <c r="AK128" s="36">
        <f t="shared" si="143"/>
        <v>-1</v>
      </c>
      <c r="AL128" s="36"/>
      <c r="AM128" s="36" t="str">
        <f t="shared" si="84"/>
        <v/>
      </c>
      <c r="AN128" s="288" t="str">
        <f t="shared" si="144"/>
        <v/>
      </c>
      <c r="AO128" s="288" t="str">
        <f t="shared" si="145"/>
        <v/>
      </c>
      <c r="AP128" s="288" t="str">
        <f t="shared" si="146"/>
        <v/>
      </c>
      <c r="AQ128" s="36">
        <f t="shared" ref="AQ128:AS128" si="160">AQ127</f>
        <v>3.3793103448275866E-2</v>
      </c>
      <c r="AR128" s="36">
        <f t="shared" si="160"/>
        <v>5.9329425287356324E-2</v>
      </c>
      <c r="AS128" s="36">
        <f t="shared" si="160"/>
        <v>8.4865747126436797E-2</v>
      </c>
      <c r="AT128" s="288">
        <f t="shared" si="148"/>
        <v>0.11040206896551726</v>
      </c>
    </row>
    <row r="129" spans="2:46">
      <c r="B129" s="287"/>
      <c r="C129" s="707"/>
      <c r="D129" s="707"/>
      <c r="E129" s="707"/>
      <c r="F129" s="707"/>
      <c r="G129" s="707"/>
      <c r="H129" s="707"/>
      <c r="I129" s="707"/>
      <c r="J129" s="707"/>
      <c r="K129" s="707"/>
      <c r="L129" s="707"/>
      <c r="M129" s="707"/>
      <c r="N129" s="707"/>
      <c r="O129" s="707"/>
      <c r="P129" s="707"/>
      <c r="Q129" s="707"/>
      <c r="R129" s="707"/>
      <c r="S129" s="707"/>
      <c r="T129" s="707"/>
      <c r="U129" s="707"/>
      <c r="V129" s="707"/>
      <c r="W129" s="707"/>
      <c r="X129" s="707"/>
      <c r="Y129" s="707"/>
      <c r="Z129" s="707"/>
      <c r="AA129" s="36" t="str">
        <f t="shared" si="82"/>
        <v/>
      </c>
      <c r="AB129" s="288" t="str">
        <f t="shared" si="134"/>
        <v/>
      </c>
      <c r="AC129" s="288" t="str">
        <f t="shared" si="135"/>
        <v/>
      </c>
      <c r="AD129" s="288" t="str">
        <f t="shared" si="136"/>
        <v/>
      </c>
      <c r="AE129" s="288" t="str">
        <f t="shared" si="137"/>
        <v/>
      </c>
      <c r="AF129" s="288" t="str">
        <f t="shared" si="138"/>
        <v/>
      </c>
      <c r="AG129" s="288" t="str">
        <f t="shared" si="139"/>
        <v/>
      </c>
      <c r="AH129" s="288" t="str">
        <f t="shared" si="140"/>
        <v/>
      </c>
      <c r="AI129" s="36">
        <f t="shared" si="141"/>
        <v>-1</v>
      </c>
      <c r="AJ129" s="36">
        <f t="shared" si="142"/>
        <v>-1</v>
      </c>
      <c r="AK129" s="36">
        <f t="shared" si="143"/>
        <v>-1</v>
      </c>
      <c r="AL129" s="36"/>
      <c r="AM129" s="36" t="str">
        <f t="shared" si="84"/>
        <v/>
      </c>
      <c r="AN129" s="288" t="str">
        <f t="shared" si="144"/>
        <v/>
      </c>
      <c r="AO129" s="288" t="str">
        <f t="shared" si="145"/>
        <v/>
      </c>
      <c r="AP129" s="288" t="str">
        <f t="shared" si="146"/>
        <v/>
      </c>
      <c r="AQ129" s="36">
        <f t="shared" ref="AQ129:AS129" si="161">AQ128</f>
        <v>3.3793103448275866E-2</v>
      </c>
      <c r="AR129" s="36">
        <f t="shared" si="161"/>
        <v>5.9329425287356324E-2</v>
      </c>
      <c r="AS129" s="36">
        <f t="shared" si="161"/>
        <v>8.4865747126436797E-2</v>
      </c>
      <c r="AT129" s="288">
        <f t="shared" si="148"/>
        <v>0.11040206896551726</v>
      </c>
    </row>
    <row r="130" spans="2:46">
      <c r="B130" s="287"/>
      <c r="C130" s="707"/>
      <c r="D130" s="707"/>
      <c r="E130" s="707"/>
      <c r="F130" s="707"/>
      <c r="G130" s="707"/>
      <c r="H130" s="707"/>
      <c r="I130" s="707"/>
      <c r="J130" s="707"/>
      <c r="K130" s="707"/>
      <c r="L130" s="707"/>
      <c r="M130" s="707"/>
      <c r="N130" s="707"/>
      <c r="O130" s="707"/>
      <c r="P130" s="707"/>
      <c r="Q130" s="707"/>
      <c r="R130" s="707"/>
      <c r="S130" s="707"/>
      <c r="T130" s="707"/>
      <c r="U130" s="707"/>
      <c r="V130" s="707"/>
      <c r="W130" s="707"/>
      <c r="X130" s="707"/>
      <c r="Y130" s="707"/>
      <c r="Z130" s="707"/>
      <c r="AA130" s="36" t="str">
        <f t="shared" ref="AA130:AA193" si="162">IF(B130="","",B130)</f>
        <v/>
      </c>
      <c r="AB130" s="288" t="str">
        <f t="shared" si="134"/>
        <v/>
      </c>
      <c r="AC130" s="288" t="str">
        <f t="shared" si="135"/>
        <v/>
      </c>
      <c r="AD130" s="288" t="str">
        <f t="shared" si="136"/>
        <v/>
      </c>
      <c r="AE130" s="288" t="str">
        <f t="shared" si="137"/>
        <v/>
      </c>
      <c r="AF130" s="288" t="str">
        <f t="shared" si="138"/>
        <v/>
      </c>
      <c r="AG130" s="288" t="str">
        <f t="shared" si="139"/>
        <v/>
      </c>
      <c r="AH130" s="288" t="str">
        <f t="shared" si="140"/>
        <v/>
      </c>
      <c r="AI130" s="36">
        <f t="shared" si="141"/>
        <v>-1</v>
      </c>
      <c r="AJ130" s="36">
        <f t="shared" si="142"/>
        <v>-1</v>
      </c>
      <c r="AK130" s="36">
        <f t="shared" si="143"/>
        <v>-1</v>
      </c>
      <c r="AL130" s="36"/>
      <c r="AM130" s="36" t="str">
        <f t="shared" si="84"/>
        <v/>
      </c>
      <c r="AN130" s="288" t="str">
        <f t="shared" si="144"/>
        <v/>
      </c>
      <c r="AO130" s="288" t="str">
        <f t="shared" si="145"/>
        <v/>
      </c>
      <c r="AP130" s="288" t="str">
        <f t="shared" si="146"/>
        <v/>
      </c>
      <c r="AQ130" s="36">
        <f t="shared" ref="AQ130:AS130" si="163">AQ129</f>
        <v>3.3793103448275866E-2</v>
      </c>
      <c r="AR130" s="36">
        <f t="shared" si="163"/>
        <v>5.9329425287356324E-2</v>
      </c>
      <c r="AS130" s="36">
        <f t="shared" si="163"/>
        <v>8.4865747126436797E-2</v>
      </c>
      <c r="AT130" s="288">
        <f t="shared" si="148"/>
        <v>0.11040206896551726</v>
      </c>
    </row>
    <row r="131" spans="2:46">
      <c r="B131" s="287"/>
      <c r="C131" s="707"/>
      <c r="D131" s="707"/>
      <c r="E131" s="707"/>
      <c r="F131" s="707"/>
      <c r="G131" s="707"/>
      <c r="H131" s="707"/>
      <c r="I131" s="707"/>
      <c r="J131" s="707"/>
      <c r="K131" s="707"/>
      <c r="L131" s="707"/>
      <c r="M131" s="707"/>
      <c r="N131" s="707"/>
      <c r="O131" s="707"/>
      <c r="P131" s="707"/>
      <c r="Q131" s="707"/>
      <c r="R131" s="707"/>
      <c r="S131" s="707"/>
      <c r="T131" s="707"/>
      <c r="U131" s="707"/>
      <c r="V131" s="707"/>
      <c r="W131" s="707"/>
      <c r="X131" s="707"/>
      <c r="Y131" s="707"/>
      <c r="Z131" s="707"/>
      <c r="AA131" s="36" t="str">
        <f t="shared" si="162"/>
        <v/>
      </c>
      <c r="AB131" s="288" t="str">
        <f t="shared" si="134"/>
        <v/>
      </c>
      <c r="AC131" s="288" t="str">
        <f t="shared" si="135"/>
        <v/>
      </c>
      <c r="AD131" s="288" t="str">
        <f t="shared" si="136"/>
        <v/>
      </c>
      <c r="AE131" s="288" t="str">
        <f t="shared" si="137"/>
        <v/>
      </c>
      <c r="AF131" s="288" t="str">
        <f t="shared" si="138"/>
        <v/>
      </c>
      <c r="AG131" s="288" t="str">
        <f t="shared" si="139"/>
        <v/>
      </c>
      <c r="AH131" s="288" t="str">
        <f t="shared" si="140"/>
        <v/>
      </c>
      <c r="AI131" s="36">
        <f t="shared" si="141"/>
        <v>-1</v>
      </c>
      <c r="AJ131" s="36">
        <f t="shared" si="142"/>
        <v>-1</v>
      </c>
      <c r="AK131" s="36">
        <f t="shared" si="143"/>
        <v>-1</v>
      </c>
      <c r="AL131" s="36"/>
      <c r="AM131" s="36" t="str">
        <f t="shared" ref="AM131:AM194" si="164">IF(B131="", "", ABS(B131-B130))</f>
        <v/>
      </c>
      <c r="AN131" s="288" t="str">
        <f t="shared" si="144"/>
        <v/>
      </c>
      <c r="AO131" s="288" t="str">
        <f t="shared" si="145"/>
        <v/>
      </c>
      <c r="AP131" s="288" t="str">
        <f t="shared" si="146"/>
        <v/>
      </c>
      <c r="AQ131" s="36">
        <f t="shared" ref="AQ131:AS131" si="165">AQ130</f>
        <v>3.3793103448275866E-2</v>
      </c>
      <c r="AR131" s="36">
        <f t="shared" si="165"/>
        <v>5.9329425287356324E-2</v>
      </c>
      <c r="AS131" s="36">
        <f t="shared" si="165"/>
        <v>8.4865747126436797E-2</v>
      </c>
      <c r="AT131" s="288">
        <f t="shared" si="148"/>
        <v>0.11040206896551726</v>
      </c>
    </row>
    <row r="132" spans="2:46">
      <c r="B132" s="287"/>
      <c r="C132" s="707"/>
      <c r="D132" s="707"/>
      <c r="E132" s="707"/>
      <c r="F132" s="707"/>
      <c r="G132" s="707"/>
      <c r="H132" s="707"/>
      <c r="I132" s="707"/>
      <c r="J132" s="707"/>
      <c r="K132" s="707"/>
      <c r="L132" s="707"/>
      <c r="M132" s="707"/>
      <c r="N132" s="707"/>
      <c r="O132" s="707"/>
      <c r="P132" s="707"/>
      <c r="Q132" s="707"/>
      <c r="R132" s="707"/>
      <c r="S132" s="707"/>
      <c r="T132" s="707"/>
      <c r="U132" s="707"/>
      <c r="V132" s="707"/>
      <c r="W132" s="707"/>
      <c r="X132" s="707"/>
      <c r="Y132" s="707"/>
      <c r="Z132" s="707"/>
      <c r="AA132" s="36" t="str">
        <f t="shared" si="162"/>
        <v/>
      </c>
      <c r="AB132" s="288" t="str">
        <f t="shared" si="134"/>
        <v/>
      </c>
      <c r="AC132" s="288" t="str">
        <f t="shared" si="135"/>
        <v/>
      </c>
      <c r="AD132" s="288" t="str">
        <f t="shared" si="136"/>
        <v/>
      </c>
      <c r="AE132" s="288" t="str">
        <f t="shared" si="137"/>
        <v/>
      </c>
      <c r="AF132" s="288" t="str">
        <f t="shared" si="138"/>
        <v/>
      </c>
      <c r="AG132" s="288" t="str">
        <f t="shared" si="139"/>
        <v/>
      </c>
      <c r="AH132" s="288" t="str">
        <f t="shared" si="140"/>
        <v/>
      </c>
      <c r="AI132" s="36">
        <f t="shared" si="141"/>
        <v>-1</v>
      </c>
      <c r="AJ132" s="36">
        <f t="shared" si="142"/>
        <v>-1</v>
      </c>
      <c r="AK132" s="36">
        <f t="shared" si="143"/>
        <v>-1</v>
      </c>
      <c r="AL132" s="36"/>
      <c r="AM132" s="36" t="str">
        <f t="shared" si="164"/>
        <v/>
      </c>
      <c r="AN132" s="288" t="str">
        <f t="shared" si="144"/>
        <v/>
      </c>
      <c r="AO132" s="288" t="str">
        <f t="shared" si="145"/>
        <v/>
      </c>
      <c r="AP132" s="288" t="str">
        <f t="shared" si="146"/>
        <v/>
      </c>
      <c r="AQ132" s="36">
        <f t="shared" ref="AQ132:AS132" si="166">AQ131</f>
        <v>3.3793103448275866E-2</v>
      </c>
      <c r="AR132" s="36">
        <f t="shared" si="166"/>
        <v>5.9329425287356324E-2</v>
      </c>
      <c r="AS132" s="36">
        <f t="shared" si="166"/>
        <v>8.4865747126436797E-2</v>
      </c>
      <c r="AT132" s="288">
        <f t="shared" si="148"/>
        <v>0.11040206896551726</v>
      </c>
    </row>
    <row r="133" spans="2:46">
      <c r="B133" s="287"/>
      <c r="C133" s="707"/>
      <c r="D133" s="707"/>
      <c r="E133" s="707"/>
      <c r="F133" s="707"/>
      <c r="G133" s="707"/>
      <c r="H133" s="707"/>
      <c r="I133" s="707"/>
      <c r="J133" s="707"/>
      <c r="K133" s="707"/>
      <c r="L133" s="707"/>
      <c r="M133" s="707"/>
      <c r="N133" s="707"/>
      <c r="O133" s="707"/>
      <c r="P133" s="707"/>
      <c r="Q133" s="707"/>
      <c r="R133" s="707"/>
      <c r="S133" s="707"/>
      <c r="T133" s="707"/>
      <c r="U133" s="707"/>
      <c r="V133" s="707"/>
      <c r="W133" s="707"/>
      <c r="X133" s="707"/>
      <c r="Y133" s="707"/>
      <c r="Z133" s="707"/>
      <c r="AA133" s="36" t="str">
        <f t="shared" si="162"/>
        <v/>
      </c>
      <c r="AB133" s="288" t="str">
        <f t="shared" si="134"/>
        <v/>
      </c>
      <c r="AC133" s="288" t="str">
        <f t="shared" si="135"/>
        <v/>
      </c>
      <c r="AD133" s="288" t="str">
        <f t="shared" si="136"/>
        <v/>
      </c>
      <c r="AE133" s="288" t="str">
        <f t="shared" si="137"/>
        <v/>
      </c>
      <c r="AF133" s="288" t="str">
        <f t="shared" si="138"/>
        <v/>
      </c>
      <c r="AG133" s="288" t="str">
        <f t="shared" si="139"/>
        <v/>
      </c>
      <c r="AH133" s="288" t="str">
        <f t="shared" si="140"/>
        <v/>
      </c>
      <c r="AI133" s="36">
        <f t="shared" si="141"/>
        <v>-1</v>
      </c>
      <c r="AJ133" s="36">
        <f t="shared" si="142"/>
        <v>-1</v>
      </c>
      <c r="AK133" s="36">
        <f t="shared" si="143"/>
        <v>-1</v>
      </c>
      <c r="AL133" s="36"/>
      <c r="AM133" s="36" t="str">
        <f t="shared" si="164"/>
        <v/>
      </c>
      <c r="AN133" s="288" t="str">
        <f t="shared" si="144"/>
        <v/>
      </c>
      <c r="AO133" s="288" t="str">
        <f t="shared" si="145"/>
        <v/>
      </c>
      <c r="AP133" s="288" t="str">
        <f t="shared" si="146"/>
        <v/>
      </c>
      <c r="AQ133" s="36">
        <f t="shared" ref="AQ133:AS133" si="167">AQ132</f>
        <v>3.3793103448275866E-2</v>
      </c>
      <c r="AR133" s="36">
        <f t="shared" si="167"/>
        <v>5.9329425287356324E-2</v>
      </c>
      <c r="AS133" s="36">
        <f t="shared" si="167"/>
        <v>8.4865747126436797E-2</v>
      </c>
      <c r="AT133" s="288">
        <f t="shared" si="148"/>
        <v>0.11040206896551726</v>
      </c>
    </row>
    <row r="134" spans="2:46">
      <c r="B134" s="287"/>
      <c r="C134" s="707"/>
      <c r="D134" s="707"/>
      <c r="E134" s="707"/>
      <c r="F134" s="707"/>
      <c r="G134" s="707"/>
      <c r="H134" s="707"/>
      <c r="I134" s="707"/>
      <c r="J134" s="707"/>
      <c r="K134" s="707"/>
      <c r="L134" s="707"/>
      <c r="M134" s="707"/>
      <c r="N134" s="707"/>
      <c r="O134" s="707"/>
      <c r="P134" s="707"/>
      <c r="Q134" s="707"/>
      <c r="R134" s="707"/>
      <c r="S134" s="707"/>
      <c r="T134" s="707"/>
      <c r="U134" s="707"/>
      <c r="V134" s="707"/>
      <c r="W134" s="707"/>
      <c r="X134" s="707"/>
      <c r="Y134" s="707"/>
      <c r="Z134" s="707"/>
      <c r="AA134" s="36" t="str">
        <f t="shared" si="162"/>
        <v/>
      </c>
      <c r="AB134" s="288" t="str">
        <f t="shared" si="134"/>
        <v/>
      </c>
      <c r="AC134" s="288" t="str">
        <f t="shared" si="135"/>
        <v/>
      </c>
      <c r="AD134" s="288" t="str">
        <f t="shared" si="136"/>
        <v/>
      </c>
      <c r="AE134" s="288" t="str">
        <f t="shared" si="137"/>
        <v/>
      </c>
      <c r="AF134" s="288" t="str">
        <f t="shared" si="138"/>
        <v/>
      </c>
      <c r="AG134" s="288" t="str">
        <f t="shared" si="139"/>
        <v/>
      </c>
      <c r="AH134" s="288" t="str">
        <f t="shared" si="140"/>
        <v/>
      </c>
      <c r="AI134" s="36">
        <f t="shared" si="141"/>
        <v>-1</v>
      </c>
      <c r="AJ134" s="36">
        <f t="shared" si="142"/>
        <v>-1</v>
      </c>
      <c r="AK134" s="36">
        <f t="shared" si="143"/>
        <v>-1</v>
      </c>
      <c r="AL134" s="36"/>
      <c r="AM134" s="36" t="str">
        <f t="shared" si="164"/>
        <v/>
      </c>
      <c r="AN134" s="288" t="str">
        <f t="shared" si="144"/>
        <v/>
      </c>
      <c r="AO134" s="288" t="str">
        <f t="shared" si="145"/>
        <v/>
      </c>
      <c r="AP134" s="288" t="str">
        <f t="shared" si="146"/>
        <v/>
      </c>
      <c r="AQ134" s="36">
        <f t="shared" ref="AQ134:AS134" si="168">AQ133</f>
        <v>3.3793103448275866E-2</v>
      </c>
      <c r="AR134" s="36">
        <f t="shared" si="168"/>
        <v>5.9329425287356324E-2</v>
      </c>
      <c r="AS134" s="36">
        <f t="shared" si="168"/>
        <v>8.4865747126436797E-2</v>
      </c>
      <c r="AT134" s="288">
        <f t="shared" si="148"/>
        <v>0.11040206896551726</v>
      </c>
    </row>
    <row r="135" spans="2:46">
      <c r="B135" s="287"/>
      <c r="C135" s="707"/>
      <c r="D135" s="707"/>
      <c r="E135" s="707"/>
      <c r="F135" s="707"/>
      <c r="G135" s="707"/>
      <c r="H135" s="707"/>
      <c r="I135" s="707"/>
      <c r="J135" s="707"/>
      <c r="K135" s="707"/>
      <c r="L135" s="707"/>
      <c r="M135" s="707"/>
      <c r="N135" s="707"/>
      <c r="O135" s="707"/>
      <c r="P135" s="707"/>
      <c r="Q135" s="707"/>
      <c r="R135" s="707"/>
      <c r="S135" s="707"/>
      <c r="T135" s="707"/>
      <c r="U135" s="707"/>
      <c r="V135" s="707"/>
      <c r="W135" s="707"/>
      <c r="X135" s="707"/>
      <c r="Y135" s="707"/>
      <c r="Z135" s="707"/>
      <c r="AA135" s="36" t="str">
        <f t="shared" si="162"/>
        <v/>
      </c>
      <c r="AB135" s="288" t="str">
        <f t="shared" si="134"/>
        <v/>
      </c>
      <c r="AC135" s="288" t="str">
        <f t="shared" si="135"/>
        <v/>
      </c>
      <c r="AD135" s="288" t="str">
        <f t="shared" si="136"/>
        <v/>
      </c>
      <c r="AE135" s="288" t="str">
        <f t="shared" si="137"/>
        <v/>
      </c>
      <c r="AF135" s="288" t="str">
        <f t="shared" si="138"/>
        <v/>
      </c>
      <c r="AG135" s="288" t="str">
        <f t="shared" si="139"/>
        <v/>
      </c>
      <c r="AH135" s="288" t="str">
        <f t="shared" si="140"/>
        <v/>
      </c>
      <c r="AI135" s="36">
        <f t="shared" si="141"/>
        <v>-1</v>
      </c>
      <c r="AJ135" s="36">
        <f t="shared" si="142"/>
        <v>-1</v>
      </c>
      <c r="AK135" s="36">
        <f t="shared" si="143"/>
        <v>-1</v>
      </c>
      <c r="AL135" s="36"/>
      <c r="AM135" s="36" t="str">
        <f t="shared" si="164"/>
        <v/>
      </c>
      <c r="AN135" s="288" t="str">
        <f t="shared" si="144"/>
        <v/>
      </c>
      <c r="AO135" s="288" t="str">
        <f t="shared" si="145"/>
        <v/>
      </c>
      <c r="AP135" s="288" t="str">
        <f t="shared" si="146"/>
        <v/>
      </c>
      <c r="AQ135" s="36">
        <f t="shared" ref="AQ135:AS135" si="169">AQ134</f>
        <v>3.3793103448275866E-2</v>
      </c>
      <c r="AR135" s="36">
        <f t="shared" si="169"/>
        <v>5.9329425287356324E-2</v>
      </c>
      <c r="AS135" s="36">
        <f t="shared" si="169"/>
        <v>8.4865747126436797E-2</v>
      </c>
      <c r="AT135" s="288">
        <f t="shared" si="148"/>
        <v>0.11040206896551726</v>
      </c>
    </row>
    <row r="136" spans="2:46">
      <c r="B136" s="287"/>
      <c r="C136" s="707"/>
      <c r="D136" s="707"/>
      <c r="E136" s="707"/>
      <c r="F136" s="707"/>
      <c r="G136" s="707"/>
      <c r="H136" s="707"/>
      <c r="I136" s="707"/>
      <c r="J136" s="707"/>
      <c r="K136" s="707"/>
      <c r="L136" s="707"/>
      <c r="M136" s="707"/>
      <c r="N136" s="707"/>
      <c r="O136" s="707"/>
      <c r="P136" s="707"/>
      <c r="Q136" s="707"/>
      <c r="R136" s="707"/>
      <c r="S136" s="707"/>
      <c r="T136" s="707"/>
      <c r="U136" s="707"/>
      <c r="V136" s="707"/>
      <c r="W136" s="707"/>
      <c r="X136" s="707"/>
      <c r="Y136" s="707"/>
      <c r="Z136" s="707"/>
      <c r="AA136" s="36" t="str">
        <f t="shared" si="162"/>
        <v/>
      </c>
      <c r="AB136" s="288" t="str">
        <f t="shared" si="134"/>
        <v/>
      </c>
      <c r="AC136" s="288" t="str">
        <f t="shared" si="135"/>
        <v/>
      </c>
      <c r="AD136" s="288" t="str">
        <f t="shared" si="136"/>
        <v/>
      </c>
      <c r="AE136" s="288" t="str">
        <f t="shared" si="137"/>
        <v/>
      </c>
      <c r="AF136" s="288" t="str">
        <f t="shared" si="138"/>
        <v/>
      </c>
      <c r="AG136" s="288" t="str">
        <f t="shared" si="139"/>
        <v/>
      </c>
      <c r="AH136" s="288" t="str">
        <f t="shared" si="140"/>
        <v/>
      </c>
      <c r="AI136" s="36">
        <f t="shared" si="141"/>
        <v>-1</v>
      </c>
      <c r="AJ136" s="36">
        <f t="shared" si="142"/>
        <v>-1</v>
      </c>
      <c r="AK136" s="36">
        <f t="shared" si="143"/>
        <v>-1</v>
      </c>
      <c r="AL136" s="36"/>
      <c r="AM136" s="36" t="str">
        <f t="shared" si="164"/>
        <v/>
      </c>
      <c r="AN136" s="288" t="str">
        <f t="shared" si="144"/>
        <v/>
      </c>
      <c r="AO136" s="288" t="str">
        <f t="shared" si="145"/>
        <v/>
      </c>
      <c r="AP136" s="288" t="str">
        <f t="shared" si="146"/>
        <v/>
      </c>
      <c r="AQ136" s="36">
        <f t="shared" ref="AQ136:AS136" si="170">AQ135</f>
        <v>3.3793103448275866E-2</v>
      </c>
      <c r="AR136" s="36">
        <f t="shared" si="170"/>
        <v>5.9329425287356324E-2</v>
      </c>
      <c r="AS136" s="36">
        <f t="shared" si="170"/>
        <v>8.4865747126436797E-2</v>
      </c>
      <c r="AT136" s="288">
        <f t="shared" si="148"/>
        <v>0.11040206896551726</v>
      </c>
    </row>
    <row r="137" spans="2:46">
      <c r="B137" s="287"/>
      <c r="C137" s="707"/>
      <c r="D137" s="707"/>
      <c r="E137" s="707"/>
      <c r="F137" s="707"/>
      <c r="G137" s="707"/>
      <c r="H137" s="707"/>
      <c r="I137" s="707"/>
      <c r="J137" s="707"/>
      <c r="K137" s="707"/>
      <c r="L137" s="707"/>
      <c r="M137" s="707"/>
      <c r="N137" s="707"/>
      <c r="O137" s="707"/>
      <c r="P137" s="707"/>
      <c r="Q137" s="707"/>
      <c r="R137" s="707"/>
      <c r="S137" s="707"/>
      <c r="T137" s="707"/>
      <c r="U137" s="707"/>
      <c r="V137" s="707"/>
      <c r="W137" s="707"/>
      <c r="X137" s="707"/>
      <c r="Y137" s="707"/>
      <c r="Z137" s="707"/>
      <c r="AA137" s="36" t="str">
        <f t="shared" si="162"/>
        <v/>
      </c>
      <c r="AB137" s="288" t="str">
        <f t="shared" si="134"/>
        <v/>
      </c>
      <c r="AC137" s="288" t="str">
        <f t="shared" si="135"/>
        <v/>
      </c>
      <c r="AD137" s="288" t="str">
        <f t="shared" si="136"/>
        <v/>
      </c>
      <c r="AE137" s="288" t="str">
        <f t="shared" si="137"/>
        <v/>
      </c>
      <c r="AF137" s="288" t="str">
        <f t="shared" si="138"/>
        <v/>
      </c>
      <c r="AG137" s="288" t="str">
        <f t="shared" si="139"/>
        <v/>
      </c>
      <c r="AH137" s="288" t="str">
        <f t="shared" si="140"/>
        <v/>
      </c>
      <c r="AI137" s="36">
        <f t="shared" si="141"/>
        <v>-1</v>
      </c>
      <c r="AJ137" s="36">
        <f t="shared" si="142"/>
        <v>-1</v>
      </c>
      <c r="AK137" s="36">
        <f t="shared" si="143"/>
        <v>-1</v>
      </c>
      <c r="AL137" s="36"/>
      <c r="AM137" s="36" t="str">
        <f t="shared" si="164"/>
        <v/>
      </c>
      <c r="AN137" s="288" t="str">
        <f t="shared" si="144"/>
        <v/>
      </c>
      <c r="AO137" s="288" t="str">
        <f t="shared" si="145"/>
        <v/>
      </c>
      <c r="AP137" s="288" t="str">
        <f t="shared" si="146"/>
        <v/>
      </c>
      <c r="AQ137" s="36">
        <f t="shared" ref="AQ137:AS137" si="171">AQ136</f>
        <v>3.3793103448275866E-2</v>
      </c>
      <c r="AR137" s="36">
        <f t="shared" si="171"/>
        <v>5.9329425287356324E-2</v>
      </c>
      <c r="AS137" s="36">
        <f t="shared" si="171"/>
        <v>8.4865747126436797E-2</v>
      </c>
      <c r="AT137" s="288">
        <f t="shared" si="148"/>
        <v>0.11040206896551726</v>
      </c>
    </row>
    <row r="138" spans="2:46">
      <c r="B138" s="287"/>
      <c r="C138" s="707"/>
      <c r="D138" s="707"/>
      <c r="E138" s="707"/>
      <c r="F138" s="707"/>
      <c r="G138" s="707"/>
      <c r="H138" s="707"/>
      <c r="I138" s="707"/>
      <c r="J138" s="707"/>
      <c r="K138" s="707"/>
      <c r="L138" s="707"/>
      <c r="M138" s="707"/>
      <c r="N138" s="707"/>
      <c r="O138" s="707"/>
      <c r="P138" s="707"/>
      <c r="Q138" s="707"/>
      <c r="R138" s="707"/>
      <c r="S138" s="707"/>
      <c r="T138" s="707"/>
      <c r="U138" s="707"/>
      <c r="V138" s="707"/>
      <c r="W138" s="707"/>
      <c r="X138" s="707"/>
      <c r="Y138" s="707"/>
      <c r="Z138" s="707"/>
      <c r="AA138" s="36" t="str">
        <f t="shared" si="162"/>
        <v/>
      </c>
      <c r="AB138" s="288" t="str">
        <f t="shared" si="134"/>
        <v/>
      </c>
      <c r="AC138" s="288" t="str">
        <f t="shared" si="135"/>
        <v/>
      </c>
      <c r="AD138" s="288" t="str">
        <f t="shared" si="136"/>
        <v/>
      </c>
      <c r="AE138" s="288" t="str">
        <f t="shared" si="137"/>
        <v/>
      </c>
      <c r="AF138" s="288" t="str">
        <f t="shared" si="138"/>
        <v/>
      </c>
      <c r="AG138" s="288" t="str">
        <f t="shared" si="139"/>
        <v/>
      </c>
      <c r="AH138" s="288" t="str">
        <f t="shared" si="140"/>
        <v/>
      </c>
      <c r="AI138" s="36">
        <f t="shared" si="141"/>
        <v>-1</v>
      </c>
      <c r="AJ138" s="36">
        <f t="shared" si="142"/>
        <v>-1</v>
      </c>
      <c r="AK138" s="36">
        <f t="shared" si="143"/>
        <v>-1</v>
      </c>
      <c r="AL138" s="36"/>
      <c r="AM138" s="36" t="str">
        <f t="shared" si="164"/>
        <v/>
      </c>
      <c r="AN138" s="288" t="str">
        <f t="shared" si="144"/>
        <v/>
      </c>
      <c r="AO138" s="288" t="str">
        <f t="shared" si="145"/>
        <v/>
      </c>
      <c r="AP138" s="288" t="str">
        <f t="shared" si="146"/>
        <v/>
      </c>
      <c r="AQ138" s="36">
        <f t="shared" ref="AQ138:AS138" si="172">AQ137</f>
        <v>3.3793103448275866E-2</v>
      </c>
      <c r="AR138" s="36">
        <f t="shared" si="172"/>
        <v>5.9329425287356324E-2</v>
      </c>
      <c r="AS138" s="36">
        <f t="shared" si="172"/>
        <v>8.4865747126436797E-2</v>
      </c>
      <c r="AT138" s="288">
        <f t="shared" si="148"/>
        <v>0.11040206896551726</v>
      </c>
    </row>
    <row r="139" spans="2:46">
      <c r="B139" s="287"/>
      <c r="C139" s="707"/>
      <c r="D139" s="707"/>
      <c r="E139" s="707"/>
      <c r="F139" s="707"/>
      <c r="G139" s="707"/>
      <c r="H139" s="707"/>
      <c r="I139" s="707"/>
      <c r="J139" s="707"/>
      <c r="K139" s="707"/>
      <c r="L139" s="707"/>
      <c r="M139" s="707"/>
      <c r="N139" s="707"/>
      <c r="O139" s="707"/>
      <c r="P139" s="707"/>
      <c r="Q139" s="707"/>
      <c r="R139" s="707"/>
      <c r="S139" s="707"/>
      <c r="T139" s="707"/>
      <c r="U139" s="707"/>
      <c r="V139" s="707"/>
      <c r="W139" s="707"/>
      <c r="X139" s="707"/>
      <c r="Y139" s="707"/>
      <c r="Z139" s="707"/>
      <c r="AA139" s="36" t="str">
        <f t="shared" si="162"/>
        <v/>
      </c>
      <c r="AB139" s="288" t="str">
        <f t="shared" si="134"/>
        <v/>
      </c>
      <c r="AC139" s="288" t="str">
        <f t="shared" si="135"/>
        <v/>
      </c>
      <c r="AD139" s="288" t="str">
        <f t="shared" si="136"/>
        <v/>
      </c>
      <c r="AE139" s="288" t="str">
        <f t="shared" si="137"/>
        <v/>
      </c>
      <c r="AF139" s="288" t="str">
        <f t="shared" si="138"/>
        <v/>
      </c>
      <c r="AG139" s="288" t="str">
        <f t="shared" si="139"/>
        <v/>
      </c>
      <c r="AH139" s="288" t="str">
        <f t="shared" si="140"/>
        <v/>
      </c>
      <c r="AI139" s="36">
        <f t="shared" si="141"/>
        <v>-1</v>
      </c>
      <c r="AJ139" s="36">
        <f t="shared" si="142"/>
        <v>-1</v>
      </c>
      <c r="AK139" s="36">
        <f t="shared" si="143"/>
        <v>-1</v>
      </c>
      <c r="AL139" s="36"/>
      <c r="AM139" s="36" t="str">
        <f t="shared" si="164"/>
        <v/>
      </c>
      <c r="AN139" s="288" t="str">
        <f t="shared" si="144"/>
        <v/>
      </c>
      <c r="AO139" s="288" t="str">
        <f t="shared" si="145"/>
        <v/>
      </c>
      <c r="AP139" s="288" t="str">
        <f t="shared" si="146"/>
        <v/>
      </c>
      <c r="AQ139" s="36">
        <f t="shared" ref="AQ139:AS139" si="173">AQ138</f>
        <v>3.3793103448275866E-2</v>
      </c>
      <c r="AR139" s="36">
        <f t="shared" si="173"/>
        <v>5.9329425287356324E-2</v>
      </c>
      <c r="AS139" s="36">
        <f t="shared" si="173"/>
        <v>8.4865747126436797E-2</v>
      </c>
      <c r="AT139" s="288">
        <f t="shared" si="148"/>
        <v>0.11040206896551726</v>
      </c>
    </row>
    <row r="140" spans="2:46">
      <c r="B140" s="287"/>
      <c r="C140" s="707"/>
      <c r="D140" s="707"/>
      <c r="E140" s="707"/>
      <c r="F140" s="707"/>
      <c r="G140" s="707"/>
      <c r="H140" s="707"/>
      <c r="I140" s="707"/>
      <c r="J140" s="707"/>
      <c r="K140" s="707"/>
      <c r="L140" s="707"/>
      <c r="M140" s="707"/>
      <c r="N140" s="707"/>
      <c r="O140" s="707"/>
      <c r="P140" s="707"/>
      <c r="Q140" s="707"/>
      <c r="R140" s="707"/>
      <c r="S140" s="707"/>
      <c r="T140" s="707"/>
      <c r="U140" s="707"/>
      <c r="V140" s="707"/>
      <c r="W140" s="707"/>
      <c r="X140" s="707"/>
      <c r="Y140" s="707"/>
      <c r="Z140" s="707"/>
      <c r="AA140" s="36" t="str">
        <f t="shared" si="162"/>
        <v/>
      </c>
      <c r="AB140" s="288" t="str">
        <f t="shared" si="134"/>
        <v/>
      </c>
      <c r="AC140" s="288" t="str">
        <f t="shared" si="135"/>
        <v/>
      </c>
      <c r="AD140" s="288" t="str">
        <f t="shared" si="136"/>
        <v/>
      </c>
      <c r="AE140" s="288" t="str">
        <f t="shared" si="137"/>
        <v/>
      </c>
      <c r="AF140" s="288" t="str">
        <f t="shared" si="138"/>
        <v/>
      </c>
      <c r="AG140" s="288" t="str">
        <f t="shared" si="139"/>
        <v/>
      </c>
      <c r="AH140" s="288" t="str">
        <f t="shared" si="140"/>
        <v/>
      </c>
      <c r="AI140" s="36">
        <f t="shared" si="141"/>
        <v>-1</v>
      </c>
      <c r="AJ140" s="36">
        <f t="shared" si="142"/>
        <v>-1</v>
      </c>
      <c r="AK140" s="36">
        <f t="shared" si="143"/>
        <v>-1</v>
      </c>
      <c r="AL140" s="36"/>
      <c r="AM140" s="36" t="str">
        <f t="shared" si="164"/>
        <v/>
      </c>
      <c r="AN140" s="288" t="str">
        <f t="shared" si="144"/>
        <v/>
      </c>
      <c r="AO140" s="288" t="str">
        <f t="shared" si="145"/>
        <v/>
      </c>
      <c r="AP140" s="288" t="str">
        <f t="shared" si="146"/>
        <v/>
      </c>
      <c r="AQ140" s="36">
        <f t="shared" ref="AQ140:AS140" si="174">AQ139</f>
        <v>3.3793103448275866E-2</v>
      </c>
      <c r="AR140" s="36">
        <f t="shared" si="174"/>
        <v>5.9329425287356324E-2</v>
      </c>
      <c r="AS140" s="36">
        <f t="shared" si="174"/>
        <v>8.4865747126436797E-2</v>
      </c>
      <c r="AT140" s="288">
        <f t="shared" si="148"/>
        <v>0.11040206896551726</v>
      </c>
    </row>
    <row r="141" spans="2:46">
      <c r="B141" s="287"/>
      <c r="C141" s="707"/>
      <c r="D141" s="707"/>
      <c r="E141" s="707"/>
      <c r="F141" s="707"/>
      <c r="G141" s="707"/>
      <c r="H141" s="707"/>
      <c r="I141" s="707"/>
      <c r="J141" s="707"/>
      <c r="K141" s="707"/>
      <c r="L141" s="707"/>
      <c r="M141" s="707"/>
      <c r="N141" s="707"/>
      <c r="O141" s="707"/>
      <c r="P141" s="707"/>
      <c r="Q141" s="707"/>
      <c r="R141" s="707"/>
      <c r="S141" s="707"/>
      <c r="T141" s="707"/>
      <c r="U141" s="707"/>
      <c r="V141" s="707"/>
      <c r="W141" s="707"/>
      <c r="X141" s="707"/>
      <c r="Y141" s="707"/>
      <c r="Z141" s="707"/>
      <c r="AA141" s="36" t="str">
        <f t="shared" si="162"/>
        <v/>
      </c>
      <c r="AB141" s="288" t="str">
        <f t="shared" si="134"/>
        <v/>
      </c>
      <c r="AC141" s="288" t="str">
        <f t="shared" si="135"/>
        <v/>
      </c>
      <c r="AD141" s="288" t="str">
        <f t="shared" si="136"/>
        <v/>
      </c>
      <c r="AE141" s="288" t="str">
        <f t="shared" si="137"/>
        <v/>
      </c>
      <c r="AF141" s="288" t="str">
        <f t="shared" si="138"/>
        <v/>
      </c>
      <c r="AG141" s="288" t="str">
        <f t="shared" si="139"/>
        <v/>
      </c>
      <c r="AH141" s="288" t="str">
        <f t="shared" si="140"/>
        <v/>
      </c>
      <c r="AI141" s="36">
        <f t="shared" si="141"/>
        <v>-1</v>
      </c>
      <c r="AJ141" s="36">
        <f t="shared" si="142"/>
        <v>-1</v>
      </c>
      <c r="AK141" s="36">
        <f t="shared" si="143"/>
        <v>-1</v>
      </c>
      <c r="AL141" s="36"/>
      <c r="AM141" s="36" t="str">
        <f t="shared" si="164"/>
        <v/>
      </c>
      <c r="AN141" s="288" t="str">
        <f t="shared" si="144"/>
        <v/>
      </c>
      <c r="AO141" s="288" t="str">
        <f t="shared" si="145"/>
        <v/>
      </c>
      <c r="AP141" s="288" t="str">
        <f t="shared" si="146"/>
        <v/>
      </c>
      <c r="AQ141" s="36">
        <f t="shared" ref="AQ141:AS141" si="175">AQ140</f>
        <v>3.3793103448275866E-2</v>
      </c>
      <c r="AR141" s="36">
        <f t="shared" si="175"/>
        <v>5.9329425287356324E-2</v>
      </c>
      <c r="AS141" s="36">
        <f t="shared" si="175"/>
        <v>8.4865747126436797E-2</v>
      </c>
      <c r="AT141" s="288">
        <f t="shared" si="148"/>
        <v>0.11040206896551726</v>
      </c>
    </row>
    <row r="142" spans="2:46">
      <c r="B142" s="287"/>
      <c r="C142" s="707"/>
      <c r="D142" s="707"/>
      <c r="E142" s="707"/>
      <c r="F142" s="707"/>
      <c r="G142" s="707"/>
      <c r="H142" s="707"/>
      <c r="I142" s="707"/>
      <c r="J142" s="707"/>
      <c r="K142" s="707"/>
      <c r="L142" s="707"/>
      <c r="M142" s="707"/>
      <c r="N142" s="707"/>
      <c r="O142" s="707"/>
      <c r="P142" s="707"/>
      <c r="Q142" s="707"/>
      <c r="R142" s="707"/>
      <c r="S142" s="707"/>
      <c r="T142" s="707"/>
      <c r="U142" s="707"/>
      <c r="V142" s="707"/>
      <c r="W142" s="707"/>
      <c r="X142" s="707"/>
      <c r="Y142" s="707"/>
      <c r="Z142" s="707"/>
      <c r="AA142" s="36" t="str">
        <f t="shared" si="162"/>
        <v/>
      </c>
      <c r="AB142" s="288" t="str">
        <f t="shared" si="134"/>
        <v/>
      </c>
      <c r="AC142" s="288" t="str">
        <f t="shared" si="135"/>
        <v/>
      </c>
      <c r="AD142" s="288" t="str">
        <f t="shared" si="136"/>
        <v/>
      </c>
      <c r="AE142" s="288" t="str">
        <f t="shared" si="137"/>
        <v/>
      </c>
      <c r="AF142" s="288" t="str">
        <f t="shared" si="138"/>
        <v/>
      </c>
      <c r="AG142" s="288" t="str">
        <f t="shared" si="139"/>
        <v/>
      </c>
      <c r="AH142" s="288" t="str">
        <f t="shared" si="140"/>
        <v/>
      </c>
      <c r="AI142" s="36">
        <f t="shared" si="141"/>
        <v>-1</v>
      </c>
      <c r="AJ142" s="36">
        <f t="shared" si="142"/>
        <v>-1</v>
      </c>
      <c r="AK142" s="36">
        <f t="shared" si="143"/>
        <v>-1</v>
      </c>
      <c r="AL142" s="36"/>
      <c r="AM142" s="36" t="str">
        <f t="shared" si="164"/>
        <v/>
      </c>
      <c r="AN142" s="288" t="str">
        <f t="shared" si="144"/>
        <v/>
      </c>
      <c r="AO142" s="288" t="str">
        <f t="shared" si="145"/>
        <v/>
      </c>
      <c r="AP142" s="288" t="str">
        <f t="shared" si="146"/>
        <v/>
      </c>
      <c r="AQ142" s="36">
        <f t="shared" ref="AQ142:AS142" si="176">AQ141</f>
        <v>3.3793103448275866E-2</v>
      </c>
      <c r="AR142" s="36">
        <f t="shared" si="176"/>
        <v>5.9329425287356324E-2</v>
      </c>
      <c r="AS142" s="36">
        <f t="shared" si="176"/>
        <v>8.4865747126436797E-2</v>
      </c>
      <c r="AT142" s="288">
        <f t="shared" si="148"/>
        <v>0.11040206896551726</v>
      </c>
    </row>
    <row r="143" spans="2:46">
      <c r="B143" s="287"/>
      <c r="C143" s="707"/>
      <c r="D143" s="707"/>
      <c r="E143" s="707"/>
      <c r="F143" s="707"/>
      <c r="G143" s="707"/>
      <c r="H143" s="707"/>
      <c r="I143" s="707"/>
      <c r="J143" s="707"/>
      <c r="K143" s="707"/>
      <c r="L143" s="707"/>
      <c r="M143" s="707"/>
      <c r="N143" s="707"/>
      <c r="O143" s="707"/>
      <c r="P143" s="707"/>
      <c r="Q143" s="707"/>
      <c r="R143" s="707"/>
      <c r="S143" s="707"/>
      <c r="T143" s="707"/>
      <c r="U143" s="707"/>
      <c r="V143" s="707"/>
      <c r="W143" s="707"/>
      <c r="X143" s="707"/>
      <c r="Y143" s="707"/>
      <c r="Z143" s="707"/>
      <c r="AA143" s="36" t="str">
        <f t="shared" si="162"/>
        <v/>
      </c>
      <c r="AB143" s="288" t="str">
        <f t="shared" si="134"/>
        <v/>
      </c>
      <c r="AC143" s="288" t="str">
        <f t="shared" si="135"/>
        <v/>
      </c>
      <c r="AD143" s="288" t="str">
        <f t="shared" si="136"/>
        <v/>
      </c>
      <c r="AE143" s="288" t="str">
        <f t="shared" si="137"/>
        <v/>
      </c>
      <c r="AF143" s="288" t="str">
        <f t="shared" si="138"/>
        <v/>
      </c>
      <c r="AG143" s="288" t="str">
        <f t="shared" si="139"/>
        <v/>
      </c>
      <c r="AH143" s="288" t="str">
        <f t="shared" si="140"/>
        <v/>
      </c>
      <c r="AI143" s="36">
        <f t="shared" si="141"/>
        <v>-1</v>
      </c>
      <c r="AJ143" s="36">
        <f t="shared" si="142"/>
        <v>-1</v>
      </c>
      <c r="AK143" s="36">
        <f t="shared" si="143"/>
        <v>-1</v>
      </c>
      <c r="AL143" s="36"/>
      <c r="AM143" s="36" t="str">
        <f t="shared" si="164"/>
        <v/>
      </c>
      <c r="AN143" s="288" t="str">
        <f t="shared" si="144"/>
        <v/>
      </c>
      <c r="AO143" s="288" t="str">
        <f t="shared" si="145"/>
        <v/>
      </c>
      <c r="AP143" s="288" t="str">
        <f t="shared" si="146"/>
        <v/>
      </c>
      <c r="AQ143" s="36">
        <f t="shared" ref="AQ143:AS143" si="177">AQ142</f>
        <v>3.3793103448275866E-2</v>
      </c>
      <c r="AR143" s="36">
        <f t="shared" si="177"/>
        <v>5.9329425287356324E-2</v>
      </c>
      <c r="AS143" s="36">
        <f t="shared" si="177"/>
        <v>8.4865747126436797E-2</v>
      </c>
      <c r="AT143" s="288">
        <f t="shared" si="148"/>
        <v>0.11040206896551726</v>
      </c>
    </row>
    <row r="144" spans="2:46">
      <c r="B144" s="287"/>
      <c r="C144" s="707"/>
      <c r="D144" s="707"/>
      <c r="E144" s="707"/>
      <c r="F144" s="707"/>
      <c r="G144" s="707"/>
      <c r="H144" s="707"/>
      <c r="I144" s="707"/>
      <c r="J144" s="707"/>
      <c r="K144" s="707"/>
      <c r="L144" s="707"/>
      <c r="M144" s="707"/>
      <c r="N144" s="707"/>
      <c r="O144" s="707"/>
      <c r="P144" s="707"/>
      <c r="Q144" s="707"/>
      <c r="R144" s="707"/>
      <c r="S144" s="707"/>
      <c r="T144" s="707"/>
      <c r="U144" s="707"/>
      <c r="V144" s="707"/>
      <c r="W144" s="707"/>
      <c r="X144" s="707"/>
      <c r="Y144" s="707"/>
      <c r="Z144" s="707"/>
      <c r="AA144" s="36" t="str">
        <f t="shared" si="162"/>
        <v/>
      </c>
      <c r="AB144" s="288" t="str">
        <f t="shared" si="134"/>
        <v/>
      </c>
      <c r="AC144" s="288" t="str">
        <f t="shared" si="135"/>
        <v/>
      </c>
      <c r="AD144" s="288" t="str">
        <f t="shared" si="136"/>
        <v/>
      </c>
      <c r="AE144" s="288" t="str">
        <f t="shared" si="137"/>
        <v/>
      </c>
      <c r="AF144" s="288" t="str">
        <f t="shared" si="138"/>
        <v/>
      </c>
      <c r="AG144" s="288" t="str">
        <f t="shared" si="139"/>
        <v/>
      </c>
      <c r="AH144" s="288" t="str">
        <f t="shared" si="140"/>
        <v/>
      </c>
      <c r="AI144" s="36">
        <f t="shared" si="141"/>
        <v>-1</v>
      </c>
      <c r="AJ144" s="36">
        <f t="shared" si="142"/>
        <v>-1</v>
      </c>
      <c r="AK144" s="36">
        <f t="shared" si="143"/>
        <v>-1</v>
      </c>
      <c r="AL144" s="36"/>
      <c r="AM144" s="36" t="str">
        <f t="shared" si="164"/>
        <v/>
      </c>
      <c r="AN144" s="288" t="str">
        <f t="shared" si="144"/>
        <v/>
      </c>
      <c r="AO144" s="288" t="str">
        <f t="shared" si="145"/>
        <v/>
      </c>
      <c r="AP144" s="288" t="str">
        <f t="shared" si="146"/>
        <v/>
      </c>
      <c r="AQ144" s="36">
        <f t="shared" ref="AQ144:AS144" si="178">AQ143</f>
        <v>3.3793103448275866E-2</v>
      </c>
      <c r="AR144" s="36">
        <f t="shared" si="178"/>
        <v>5.9329425287356324E-2</v>
      </c>
      <c r="AS144" s="36">
        <f t="shared" si="178"/>
        <v>8.4865747126436797E-2</v>
      </c>
      <c r="AT144" s="288">
        <f t="shared" si="148"/>
        <v>0.11040206896551726</v>
      </c>
    </row>
    <row r="145" spans="2:46">
      <c r="B145" s="287"/>
      <c r="C145" s="707"/>
      <c r="D145" s="707"/>
      <c r="E145" s="707"/>
      <c r="F145" s="707"/>
      <c r="G145" s="707"/>
      <c r="H145" s="707"/>
      <c r="I145" s="707"/>
      <c r="J145" s="707"/>
      <c r="K145" s="707"/>
      <c r="L145" s="707"/>
      <c r="M145" s="707"/>
      <c r="N145" s="707"/>
      <c r="O145" s="707"/>
      <c r="P145" s="707"/>
      <c r="Q145" s="707"/>
      <c r="R145" s="707"/>
      <c r="S145" s="707"/>
      <c r="T145" s="707"/>
      <c r="U145" s="707"/>
      <c r="V145" s="707"/>
      <c r="W145" s="707"/>
      <c r="X145" s="707"/>
      <c r="Y145" s="707"/>
      <c r="Z145" s="707"/>
      <c r="AA145" s="36" t="str">
        <f t="shared" si="162"/>
        <v/>
      </c>
      <c r="AB145" s="288" t="str">
        <f t="shared" si="134"/>
        <v/>
      </c>
      <c r="AC145" s="288" t="str">
        <f t="shared" si="135"/>
        <v/>
      </c>
      <c r="AD145" s="288" t="str">
        <f t="shared" si="136"/>
        <v/>
      </c>
      <c r="AE145" s="288" t="str">
        <f t="shared" si="137"/>
        <v/>
      </c>
      <c r="AF145" s="288" t="str">
        <f t="shared" si="138"/>
        <v/>
      </c>
      <c r="AG145" s="288" t="str">
        <f t="shared" si="139"/>
        <v/>
      </c>
      <c r="AH145" s="288" t="str">
        <f t="shared" si="140"/>
        <v/>
      </c>
      <c r="AI145" s="36">
        <f t="shared" si="141"/>
        <v>-1</v>
      </c>
      <c r="AJ145" s="36">
        <f t="shared" si="142"/>
        <v>-1</v>
      </c>
      <c r="AK145" s="36">
        <f t="shared" si="143"/>
        <v>-1</v>
      </c>
      <c r="AL145" s="36"/>
      <c r="AM145" s="36" t="str">
        <f t="shared" si="164"/>
        <v/>
      </c>
      <c r="AN145" s="288" t="str">
        <f t="shared" si="144"/>
        <v/>
      </c>
      <c r="AO145" s="288" t="str">
        <f t="shared" si="145"/>
        <v/>
      </c>
      <c r="AP145" s="288" t="str">
        <f t="shared" si="146"/>
        <v/>
      </c>
      <c r="AQ145" s="36">
        <f t="shared" ref="AQ145:AS145" si="179">AQ144</f>
        <v>3.3793103448275866E-2</v>
      </c>
      <c r="AR145" s="36">
        <f t="shared" si="179"/>
        <v>5.9329425287356324E-2</v>
      </c>
      <c r="AS145" s="36">
        <f t="shared" si="179"/>
        <v>8.4865747126436797E-2</v>
      </c>
      <c r="AT145" s="288">
        <f t="shared" si="148"/>
        <v>0.11040206896551726</v>
      </c>
    </row>
    <row r="146" spans="2:46">
      <c r="B146" s="287"/>
      <c r="C146" s="707"/>
      <c r="D146" s="707"/>
      <c r="E146" s="707"/>
      <c r="F146" s="707"/>
      <c r="G146" s="707"/>
      <c r="H146" s="707"/>
      <c r="I146" s="707"/>
      <c r="J146" s="707"/>
      <c r="K146" s="707"/>
      <c r="L146" s="707"/>
      <c r="M146" s="707"/>
      <c r="N146" s="707"/>
      <c r="O146" s="707"/>
      <c r="P146" s="707"/>
      <c r="Q146" s="707"/>
      <c r="R146" s="707"/>
      <c r="S146" s="707"/>
      <c r="T146" s="707"/>
      <c r="U146" s="707"/>
      <c r="V146" s="707"/>
      <c r="W146" s="707"/>
      <c r="X146" s="707"/>
      <c r="Y146" s="707"/>
      <c r="Z146" s="707"/>
      <c r="AA146" s="36" t="str">
        <f t="shared" si="162"/>
        <v/>
      </c>
      <c r="AB146" s="288" t="str">
        <f t="shared" si="134"/>
        <v/>
      </c>
      <c r="AC146" s="288" t="str">
        <f t="shared" si="135"/>
        <v/>
      </c>
      <c r="AD146" s="288" t="str">
        <f t="shared" si="136"/>
        <v/>
      </c>
      <c r="AE146" s="288" t="str">
        <f t="shared" si="137"/>
        <v/>
      </c>
      <c r="AF146" s="288" t="str">
        <f t="shared" si="138"/>
        <v/>
      </c>
      <c r="AG146" s="288" t="str">
        <f t="shared" si="139"/>
        <v/>
      </c>
      <c r="AH146" s="288" t="str">
        <f t="shared" si="140"/>
        <v/>
      </c>
      <c r="AI146" s="36">
        <f t="shared" si="141"/>
        <v>-1</v>
      </c>
      <c r="AJ146" s="36">
        <f t="shared" si="142"/>
        <v>-1</v>
      </c>
      <c r="AK146" s="36">
        <f t="shared" si="143"/>
        <v>-1</v>
      </c>
      <c r="AL146" s="36"/>
      <c r="AM146" s="36" t="str">
        <f t="shared" si="164"/>
        <v/>
      </c>
      <c r="AN146" s="288" t="str">
        <f t="shared" si="144"/>
        <v/>
      </c>
      <c r="AO146" s="288" t="str">
        <f t="shared" si="145"/>
        <v/>
      </c>
      <c r="AP146" s="288" t="str">
        <f t="shared" si="146"/>
        <v/>
      </c>
      <c r="AQ146" s="36">
        <f t="shared" ref="AQ146:AS146" si="180">AQ145</f>
        <v>3.3793103448275866E-2</v>
      </c>
      <c r="AR146" s="36">
        <f t="shared" si="180"/>
        <v>5.9329425287356324E-2</v>
      </c>
      <c r="AS146" s="36">
        <f t="shared" si="180"/>
        <v>8.4865747126436797E-2</v>
      </c>
      <c r="AT146" s="288">
        <f t="shared" si="148"/>
        <v>0.11040206896551726</v>
      </c>
    </row>
    <row r="147" spans="2:46">
      <c r="B147" s="287"/>
      <c r="C147" s="707"/>
      <c r="D147" s="707"/>
      <c r="E147" s="707"/>
      <c r="F147" s="707"/>
      <c r="G147" s="707"/>
      <c r="H147" s="707"/>
      <c r="I147" s="707"/>
      <c r="J147" s="707"/>
      <c r="K147" s="707"/>
      <c r="L147" s="707"/>
      <c r="M147" s="707"/>
      <c r="N147" s="707"/>
      <c r="O147" s="707"/>
      <c r="P147" s="707"/>
      <c r="Q147" s="707"/>
      <c r="R147" s="707"/>
      <c r="S147" s="707"/>
      <c r="T147" s="707"/>
      <c r="U147" s="707"/>
      <c r="V147" s="707"/>
      <c r="W147" s="707"/>
      <c r="X147" s="707"/>
      <c r="Y147" s="707"/>
      <c r="Z147" s="707"/>
      <c r="AA147" s="36" t="str">
        <f t="shared" si="162"/>
        <v/>
      </c>
      <c r="AB147" s="288" t="str">
        <f t="shared" si="134"/>
        <v/>
      </c>
      <c r="AC147" s="288" t="str">
        <f t="shared" si="135"/>
        <v/>
      </c>
      <c r="AD147" s="288" t="str">
        <f t="shared" si="136"/>
        <v/>
      </c>
      <c r="AE147" s="288" t="str">
        <f t="shared" si="137"/>
        <v/>
      </c>
      <c r="AF147" s="288" t="str">
        <f t="shared" si="138"/>
        <v/>
      </c>
      <c r="AG147" s="288" t="str">
        <f t="shared" si="139"/>
        <v/>
      </c>
      <c r="AH147" s="288" t="str">
        <f t="shared" si="140"/>
        <v/>
      </c>
      <c r="AI147" s="36">
        <f t="shared" si="141"/>
        <v>-1</v>
      </c>
      <c r="AJ147" s="36">
        <f t="shared" si="142"/>
        <v>-1</v>
      </c>
      <c r="AK147" s="36">
        <f t="shared" si="143"/>
        <v>-1</v>
      </c>
      <c r="AL147" s="36"/>
      <c r="AM147" s="36" t="str">
        <f t="shared" si="164"/>
        <v/>
      </c>
      <c r="AN147" s="288" t="str">
        <f t="shared" si="144"/>
        <v/>
      </c>
      <c r="AO147" s="288" t="str">
        <f t="shared" si="145"/>
        <v/>
      </c>
      <c r="AP147" s="288" t="str">
        <f t="shared" si="146"/>
        <v/>
      </c>
      <c r="AQ147" s="36">
        <f t="shared" ref="AQ147:AS147" si="181">AQ146</f>
        <v>3.3793103448275866E-2</v>
      </c>
      <c r="AR147" s="36">
        <f t="shared" si="181"/>
        <v>5.9329425287356324E-2</v>
      </c>
      <c r="AS147" s="36">
        <f t="shared" si="181"/>
        <v>8.4865747126436797E-2</v>
      </c>
      <c r="AT147" s="288">
        <f t="shared" si="148"/>
        <v>0.11040206896551726</v>
      </c>
    </row>
    <row r="148" spans="2:46">
      <c r="B148" s="287"/>
      <c r="C148" s="707"/>
      <c r="D148" s="707"/>
      <c r="E148" s="707"/>
      <c r="F148" s="707"/>
      <c r="G148" s="707"/>
      <c r="H148" s="707"/>
      <c r="I148" s="707"/>
      <c r="J148" s="707"/>
      <c r="K148" s="707"/>
      <c r="L148" s="707"/>
      <c r="M148" s="707"/>
      <c r="N148" s="707"/>
      <c r="O148" s="707"/>
      <c r="P148" s="707"/>
      <c r="Q148" s="707"/>
      <c r="R148" s="707"/>
      <c r="S148" s="707"/>
      <c r="T148" s="707"/>
      <c r="U148" s="707"/>
      <c r="V148" s="707"/>
      <c r="W148" s="707"/>
      <c r="X148" s="707"/>
      <c r="Y148" s="707"/>
      <c r="Z148" s="707"/>
      <c r="AA148" s="36" t="str">
        <f t="shared" si="162"/>
        <v/>
      </c>
      <c r="AB148" s="288" t="str">
        <f t="shared" si="134"/>
        <v/>
      </c>
      <c r="AC148" s="288" t="str">
        <f t="shared" si="135"/>
        <v/>
      </c>
      <c r="AD148" s="288" t="str">
        <f t="shared" si="136"/>
        <v/>
      </c>
      <c r="AE148" s="288" t="str">
        <f t="shared" si="137"/>
        <v/>
      </c>
      <c r="AF148" s="288" t="str">
        <f t="shared" si="138"/>
        <v/>
      </c>
      <c r="AG148" s="288" t="str">
        <f t="shared" si="139"/>
        <v/>
      </c>
      <c r="AH148" s="288" t="str">
        <f t="shared" si="140"/>
        <v/>
      </c>
      <c r="AI148" s="36">
        <f t="shared" si="141"/>
        <v>-1</v>
      </c>
      <c r="AJ148" s="36">
        <f t="shared" si="142"/>
        <v>-1</v>
      </c>
      <c r="AK148" s="36">
        <f t="shared" si="143"/>
        <v>-1</v>
      </c>
      <c r="AL148" s="36"/>
      <c r="AM148" s="36" t="str">
        <f t="shared" si="164"/>
        <v/>
      </c>
      <c r="AN148" s="288" t="str">
        <f t="shared" si="144"/>
        <v/>
      </c>
      <c r="AO148" s="288" t="str">
        <f t="shared" si="145"/>
        <v/>
      </c>
      <c r="AP148" s="288" t="str">
        <f t="shared" si="146"/>
        <v/>
      </c>
      <c r="AQ148" s="36">
        <f t="shared" ref="AQ148:AS148" si="182">AQ147</f>
        <v>3.3793103448275866E-2</v>
      </c>
      <c r="AR148" s="36">
        <f t="shared" si="182"/>
        <v>5.9329425287356324E-2</v>
      </c>
      <c r="AS148" s="36">
        <f t="shared" si="182"/>
        <v>8.4865747126436797E-2</v>
      </c>
      <c r="AT148" s="288">
        <f t="shared" si="148"/>
        <v>0.11040206896551726</v>
      </c>
    </row>
    <row r="149" spans="2:46">
      <c r="B149" s="287"/>
      <c r="C149" s="707"/>
      <c r="D149" s="707"/>
      <c r="E149" s="707"/>
      <c r="F149" s="707"/>
      <c r="G149" s="707"/>
      <c r="H149" s="707"/>
      <c r="I149" s="707"/>
      <c r="J149" s="707"/>
      <c r="K149" s="707"/>
      <c r="L149" s="707"/>
      <c r="M149" s="707"/>
      <c r="N149" s="707"/>
      <c r="O149" s="707"/>
      <c r="P149" s="707"/>
      <c r="Q149" s="707"/>
      <c r="R149" s="707"/>
      <c r="S149" s="707"/>
      <c r="T149" s="707"/>
      <c r="U149" s="707"/>
      <c r="V149" s="707"/>
      <c r="W149" s="707"/>
      <c r="X149" s="707"/>
      <c r="Y149" s="707"/>
      <c r="Z149" s="707"/>
      <c r="AA149" s="36" t="str">
        <f t="shared" si="162"/>
        <v/>
      </c>
      <c r="AB149" s="288" t="str">
        <f t="shared" si="134"/>
        <v/>
      </c>
      <c r="AC149" s="288" t="str">
        <f t="shared" si="135"/>
        <v/>
      </c>
      <c r="AD149" s="288" t="str">
        <f t="shared" si="136"/>
        <v/>
      </c>
      <c r="AE149" s="288" t="str">
        <f t="shared" si="137"/>
        <v/>
      </c>
      <c r="AF149" s="288" t="str">
        <f t="shared" si="138"/>
        <v/>
      </c>
      <c r="AG149" s="288" t="str">
        <f t="shared" si="139"/>
        <v/>
      </c>
      <c r="AH149" s="288" t="str">
        <f t="shared" si="140"/>
        <v/>
      </c>
      <c r="AI149" s="36">
        <f t="shared" si="141"/>
        <v>-1</v>
      </c>
      <c r="AJ149" s="36">
        <f t="shared" si="142"/>
        <v>-1</v>
      </c>
      <c r="AK149" s="36">
        <f t="shared" si="143"/>
        <v>-1</v>
      </c>
      <c r="AL149" s="36"/>
      <c r="AM149" s="36" t="str">
        <f t="shared" si="164"/>
        <v/>
      </c>
      <c r="AN149" s="288" t="str">
        <f t="shared" si="144"/>
        <v/>
      </c>
      <c r="AO149" s="288" t="str">
        <f t="shared" si="145"/>
        <v/>
      </c>
      <c r="AP149" s="288" t="str">
        <f t="shared" si="146"/>
        <v/>
      </c>
      <c r="AQ149" s="36">
        <f t="shared" ref="AQ149:AS149" si="183">AQ148</f>
        <v>3.3793103448275866E-2</v>
      </c>
      <c r="AR149" s="36">
        <f t="shared" si="183"/>
        <v>5.9329425287356324E-2</v>
      </c>
      <c r="AS149" s="36">
        <f t="shared" si="183"/>
        <v>8.4865747126436797E-2</v>
      </c>
      <c r="AT149" s="288">
        <f t="shared" si="148"/>
        <v>0.11040206896551726</v>
      </c>
    </row>
    <row r="150" spans="2:46">
      <c r="B150" s="287"/>
      <c r="C150" s="707"/>
      <c r="D150" s="707"/>
      <c r="E150" s="707"/>
      <c r="F150" s="707"/>
      <c r="G150" s="707"/>
      <c r="H150" s="707"/>
      <c r="I150" s="707"/>
      <c r="J150" s="707"/>
      <c r="K150" s="707"/>
      <c r="L150" s="707"/>
      <c r="M150" s="707"/>
      <c r="N150" s="707"/>
      <c r="O150" s="707"/>
      <c r="P150" s="707"/>
      <c r="Q150" s="707"/>
      <c r="R150" s="707"/>
      <c r="S150" s="707"/>
      <c r="T150" s="707"/>
      <c r="U150" s="707"/>
      <c r="V150" s="707"/>
      <c r="W150" s="707"/>
      <c r="X150" s="707"/>
      <c r="Y150" s="707"/>
      <c r="Z150" s="707"/>
      <c r="AA150" s="36" t="str">
        <f t="shared" si="162"/>
        <v/>
      </c>
      <c r="AB150" s="288" t="str">
        <f t="shared" si="134"/>
        <v/>
      </c>
      <c r="AC150" s="288" t="str">
        <f t="shared" si="135"/>
        <v/>
      </c>
      <c r="AD150" s="288" t="str">
        <f t="shared" si="136"/>
        <v/>
      </c>
      <c r="AE150" s="288" t="str">
        <f t="shared" si="137"/>
        <v/>
      </c>
      <c r="AF150" s="288" t="str">
        <f t="shared" si="138"/>
        <v/>
      </c>
      <c r="AG150" s="288" t="str">
        <f t="shared" si="139"/>
        <v/>
      </c>
      <c r="AH150" s="288" t="str">
        <f t="shared" si="140"/>
        <v/>
      </c>
      <c r="AI150" s="36">
        <f t="shared" si="141"/>
        <v>-1</v>
      </c>
      <c r="AJ150" s="36">
        <f t="shared" si="142"/>
        <v>-1</v>
      </c>
      <c r="AK150" s="36">
        <f t="shared" si="143"/>
        <v>-1</v>
      </c>
      <c r="AL150" s="36"/>
      <c r="AM150" s="36" t="str">
        <f t="shared" si="164"/>
        <v/>
      </c>
      <c r="AN150" s="288" t="str">
        <f t="shared" si="144"/>
        <v/>
      </c>
      <c r="AO150" s="288" t="str">
        <f t="shared" si="145"/>
        <v/>
      </c>
      <c r="AP150" s="288" t="str">
        <f t="shared" si="146"/>
        <v/>
      </c>
      <c r="AQ150" s="36">
        <f t="shared" ref="AQ150:AS150" si="184">AQ149</f>
        <v>3.3793103448275866E-2</v>
      </c>
      <c r="AR150" s="36">
        <f t="shared" si="184"/>
        <v>5.9329425287356324E-2</v>
      </c>
      <c r="AS150" s="36">
        <f t="shared" si="184"/>
        <v>8.4865747126436797E-2</v>
      </c>
      <c r="AT150" s="288">
        <f t="shared" si="148"/>
        <v>0.11040206896551726</v>
      </c>
    </row>
    <row r="151" spans="2:46">
      <c r="B151" s="287"/>
      <c r="C151" s="707"/>
      <c r="D151" s="707"/>
      <c r="E151" s="707"/>
      <c r="F151" s="707"/>
      <c r="G151" s="707"/>
      <c r="H151" s="707"/>
      <c r="I151" s="707"/>
      <c r="J151" s="707"/>
      <c r="K151" s="707"/>
      <c r="L151" s="707"/>
      <c r="M151" s="707"/>
      <c r="N151" s="707"/>
      <c r="O151" s="707"/>
      <c r="P151" s="707"/>
      <c r="Q151" s="707"/>
      <c r="R151" s="707"/>
      <c r="S151" s="707"/>
      <c r="T151" s="707"/>
      <c r="U151" s="707"/>
      <c r="V151" s="707"/>
      <c r="W151" s="707"/>
      <c r="X151" s="707"/>
      <c r="Y151" s="707"/>
      <c r="Z151" s="707"/>
      <c r="AA151" s="36" t="str">
        <f t="shared" si="162"/>
        <v/>
      </c>
      <c r="AB151" s="288" t="str">
        <f t="shared" si="134"/>
        <v/>
      </c>
      <c r="AC151" s="288" t="str">
        <f t="shared" si="135"/>
        <v/>
      </c>
      <c r="AD151" s="288" t="str">
        <f t="shared" si="136"/>
        <v/>
      </c>
      <c r="AE151" s="288" t="str">
        <f t="shared" si="137"/>
        <v/>
      </c>
      <c r="AF151" s="288" t="str">
        <f t="shared" si="138"/>
        <v/>
      </c>
      <c r="AG151" s="288" t="str">
        <f t="shared" si="139"/>
        <v/>
      </c>
      <c r="AH151" s="288" t="str">
        <f t="shared" si="140"/>
        <v/>
      </c>
      <c r="AI151" s="36">
        <f t="shared" si="141"/>
        <v>-1</v>
      </c>
      <c r="AJ151" s="36">
        <f t="shared" si="142"/>
        <v>-1</v>
      </c>
      <c r="AK151" s="36">
        <f t="shared" si="143"/>
        <v>-1</v>
      </c>
      <c r="AL151" s="36"/>
      <c r="AM151" s="36" t="str">
        <f t="shared" si="164"/>
        <v/>
      </c>
      <c r="AN151" s="288" t="str">
        <f t="shared" si="144"/>
        <v/>
      </c>
      <c r="AO151" s="288" t="str">
        <f t="shared" si="145"/>
        <v/>
      </c>
      <c r="AP151" s="288" t="str">
        <f t="shared" si="146"/>
        <v/>
      </c>
      <c r="AQ151" s="36">
        <f t="shared" ref="AQ151:AS151" si="185">AQ150</f>
        <v>3.3793103448275866E-2</v>
      </c>
      <c r="AR151" s="36">
        <f t="shared" si="185"/>
        <v>5.9329425287356324E-2</v>
      </c>
      <c r="AS151" s="36">
        <f t="shared" si="185"/>
        <v>8.4865747126436797E-2</v>
      </c>
      <c r="AT151" s="288">
        <f t="shared" si="148"/>
        <v>0.11040206896551726</v>
      </c>
    </row>
    <row r="152" spans="2:46">
      <c r="B152" s="287"/>
      <c r="C152" s="707"/>
      <c r="D152" s="707"/>
      <c r="E152" s="707"/>
      <c r="F152" s="707"/>
      <c r="G152" s="707"/>
      <c r="H152" s="707"/>
      <c r="I152" s="707"/>
      <c r="J152" s="707"/>
      <c r="K152" s="707"/>
      <c r="L152" s="707"/>
      <c r="M152" s="707"/>
      <c r="N152" s="707"/>
      <c r="O152" s="707"/>
      <c r="P152" s="707"/>
      <c r="Q152" s="707"/>
      <c r="R152" s="707"/>
      <c r="S152" s="707"/>
      <c r="T152" s="707"/>
      <c r="U152" s="707"/>
      <c r="V152" s="707"/>
      <c r="W152" s="707"/>
      <c r="X152" s="707"/>
      <c r="Y152" s="707"/>
      <c r="Z152" s="707"/>
      <c r="AA152" s="36" t="str">
        <f t="shared" si="162"/>
        <v/>
      </c>
      <c r="AB152" s="288" t="str">
        <f t="shared" si="134"/>
        <v/>
      </c>
      <c r="AC152" s="288" t="str">
        <f t="shared" si="135"/>
        <v/>
      </c>
      <c r="AD152" s="288" t="str">
        <f t="shared" si="136"/>
        <v/>
      </c>
      <c r="AE152" s="288" t="str">
        <f t="shared" si="137"/>
        <v/>
      </c>
      <c r="AF152" s="288" t="str">
        <f t="shared" si="138"/>
        <v/>
      </c>
      <c r="AG152" s="288" t="str">
        <f t="shared" si="139"/>
        <v/>
      </c>
      <c r="AH152" s="288" t="str">
        <f t="shared" si="140"/>
        <v/>
      </c>
      <c r="AI152" s="36">
        <f t="shared" si="141"/>
        <v>-1</v>
      </c>
      <c r="AJ152" s="36">
        <f t="shared" si="142"/>
        <v>-1</v>
      </c>
      <c r="AK152" s="36">
        <f t="shared" si="143"/>
        <v>-1</v>
      </c>
      <c r="AL152" s="36"/>
      <c r="AM152" s="36" t="str">
        <f t="shared" si="164"/>
        <v/>
      </c>
      <c r="AN152" s="288" t="str">
        <f t="shared" si="144"/>
        <v/>
      </c>
      <c r="AO152" s="288" t="str">
        <f t="shared" si="145"/>
        <v/>
      </c>
      <c r="AP152" s="288" t="str">
        <f t="shared" si="146"/>
        <v/>
      </c>
      <c r="AQ152" s="36">
        <f t="shared" ref="AQ152:AS152" si="186">AQ151</f>
        <v>3.3793103448275866E-2</v>
      </c>
      <c r="AR152" s="36">
        <f t="shared" si="186"/>
        <v>5.9329425287356324E-2</v>
      </c>
      <c r="AS152" s="36">
        <f t="shared" si="186"/>
        <v>8.4865747126436797E-2</v>
      </c>
      <c r="AT152" s="288">
        <f t="shared" si="148"/>
        <v>0.11040206896551726</v>
      </c>
    </row>
    <row r="153" spans="2:46">
      <c r="B153" s="287"/>
      <c r="C153" s="707"/>
      <c r="D153" s="707"/>
      <c r="E153" s="707"/>
      <c r="F153" s="707"/>
      <c r="G153" s="707"/>
      <c r="H153" s="707"/>
      <c r="I153" s="707"/>
      <c r="J153" s="707"/>
      <c r="K153" s="707"/>
      <c r="L153" s="707"/>
      <c r="M153" s="707"/>
      <c r="N153" s="707"/>
      <c r="O153" s="707"/>
      <c r="P153" s="707"/>
      <c r="Q153" s="707"/>
      <c r="R153" s="707"/>
      <c r="S153" s="707"/>
      <c r="T153" s="707"/>
      <c r="U153" s="707"/>
      <c r="V153" s="707"/>
      <c r="W153" s="707"/>
      <c r="X153" s="707"/>
      <c r="Y153" s="707"/>
      <c r="Z153" s="707"/>
      <c r="AA153" s="36" t="str">
        <f t="shared" si="162"/>
        <v/>
      </c>
      <c r="AB153" s="288" t="str">
        <f t="shared" si="134"/>
        <v/>
      </c>
      <c r="AC153" s="288" t="str">
        <f t="shared" si="135"/>
        <v/>
      </c>
      <c r="AD153" s="288" t="str">
        <f t="shared" si="136"/>
        <v/>
      </c>
      <c r="AE153" s="288" t="str">
        <f t="shared" si="137"/>
        <v/>
      </c>
      <c r="AF153" s="288" t="str">
        <f t="shared" si="138"/>
        <v/>
      </c>
      <c r="AG153" s="288" t="str">
        <f t="shared" si="139"/>
        <v/>
      </c>
      <c r="AH153" s="288" t="str">
        <f t="shared" si="140"/>
        <v/>
      </c>
      <c r="AI153" s="36">
        <f t="shared" si="141"/>
        <v>-1</v>
      </c>
      <c r="AJ153" s="36">
        <f t="shared" si="142"/>
        <v>-1</v>
      </c>
      <c r="AK153" s="36">
        <f t="shared" si="143"/>
        <v>-1</v>
      </c>
      <c r="AL153" s="36"/>
      <c r="AM153" s="36" t="str">
        <f t="shared" si="164"/>
        <v/>
      </c>
      <c r="AN153" s="288" t="str">
        <f t="shared" si="144"/>
        <v/>
      </c>
      <c r="AO153" s="288" t="str">
        <f t="shared" si="145"/>
        <v/>
      </c>
      <c r="AP153" s="288" t="str">
        <f t="shared" si="146"/>
        <v/>
      </c>
      <c r="AQ153" s="36">
        <f t="shared" ref="AQ153:AS153" si="187">AQ152</f>
        <v>3.3793103448275866E-2</v>
      </c>
      <c r="AR153" s="36">
        <f t="shared" si="187"/>
        <v>5.9329425287356324E-2</v>
      </c>
      <c r="AS153" s="36">
        <f t="shared" si="187"/>
        <v>8.4865747126436797E-2</v>
      </c>
      <c r="AT153" s="288">
        <f t="shared" si="148"/>
        <v>0.11040206896551726</v>
      </c>
    </row>
    <row r="154" spans="2:46">
      <c r="B154" s="287"/>
      <c r="C154" s="707"/>
      <c r="D154" s="707"/>
      <c r="E154" s="707"/>
      <c r="F154" s="707"/>
      <c r="G154" s="707"/>
      <c r="H154" s="707"/>
      <c r="I154" s="707"/>
      <c r="J154" s="707"/>
      <c r="K154" s="707"/>
      <c r="L154" s="707"/>
      <c r="M154" s="707"/>
      <c r="N154" s="707"/>
      <c r="O154" s="707"/>
      <c r="P154" s="707"/>
      <c r="Q154" s="707"/>
      <c r="R154" s="707"/>
      <c r="S154" s="707"/>
      <c r="T154" s="707"/>
      <c r="U154" s="707"/>
      <c r="V154" s="707"/>
      <c r="W154" s="707"/>
      <c r="X154" s="707"/>
      <c r="Y154" s="707"/>
      <c r="Z154" s="707"/>
      <c r="AA154" s="36" t="str">
        <f t="shared" si="162"/>
        <v/>
      </c>
      <c r="AB154" s="288" t="str">
        <f t="shared" si="134"/>
        <v/>
      </c>
      <c r="AC154" s="288" t="str">
        <f t="shared" si="135"/>
        <v/>
      </c>
      <c r="AD154" s="288" t="str">
        <f t="shared" si="136"/>
        <v/>
      </c>
      <c r="AE154" s="288" t="str">
        <f t="shared" si="137"/>
        <v/>
      </c>
      <c r="AF154" s="288" t="str">
        <f t="shared" si="138"/>
        <v/>
      </c>
      <c r="AG154" s="288" t="str">
        <f t="shared" si="139"/>
        <v/>
      </c>
      <c r="AH154" s="288" t="str">
        <f t="shared" si="140"/>
        <v/>
      </c>
      <c r="AI154" s="36">
        <f t="shared" si="141"/>
        <v>-1</v>
      </c>
      <c r="AJ154" s="36">
        <f t="shared" si="142"/>
        <v>-1</v>
      </c>
      <c r="AK154" s="36">
        <f t="shared" si="143"/>
        <v>-1</v>
      </c>
      <c r="AL154" s="36"/>
      <c r="AM154" s="36" t="str">
        <f t="shared" si="164"/>
        <v/>
      </c>
      <c r="AN154" s="288" t="str">
        <f t="shared" si="144"/>
        <v/>
      </c>
      <c r="AO154" s="288" t="str">
        <f t="shared" si="145"/>
        <v/>
      </c>
      <c r="AP154" s="288" t="str">
        <f t="shared" si="146"/>
        <v/>
      </c>
      <c r="AQ154" s="36">
        <f t="shared" ref="AQ154:AS154" si="188">AQ153</f>
        <v>3.3793103448275866E-2</v>
      </c>
      <c r="AR154" s="36">
        <f t="shared" si="188"/>
        <v>5.9329425287356324E-2</v>
      </c>
      <c r="AS154" s="36">
        <f t="shared" si="188"/>
        <v>8.4865747126436797E-2</v>
      </c>
      <c r="AT154" s="288">
        <f t="shared" si="148"/>
        <v>0.11040206896551726</v>
      </c>
    </row>
    <row r="155" spans="2:46">
      <c r="B155" s="287"/>
      <c r="C155" s="707"/>
      <c r="D155" s="707"/>
      <c r="E155" s="707"/>
      <c r="F155" s="707"/>
      <c r="G155" s="707"/>
      <c r="H155" s="707"/>
      <c r="I155" s="707"/>
      <c r="J155" s="707"/>
      <c r="K155" s="707"/>
      <c r="L155" s="707"/>
      <c r="M155" s="707"/>
      <c r="N155" s="707"/>
      <c r="O155" s="707"/>
      <c r="P155" s="707"/>
      <c r="Q155" s="707"/>
      <c r="R155" s="707"/>
      <c r="S155" s="707"/>
      <c r="T155" s="707"/>
      <c r="U155" s="707"/>
      <c r="V155" s="707"/>
      <c r="W155" s="707"/>
      <c r="X155" s="707"/>
      <c r="Y155" s="707"/>
      <c r="Z155" s="707"/>
      <c r="AA155" s="36" t="str">
        <f t="shared" si="162"/>
        <v/>
      </c>
      <c r="AB155" s="288" t="str">
        <f t="shared" si="134"/>
        <v/>
      </c>
      <c r="AC155" s="288" t="str">
        <f t="shared" si="135"/>
        <v/>
      </c>
      <c r="AD155" s="288" t="str">
        <f t="shared" si="136"/>
        <v/>
      </c>
      <c r="AE155" s="288" t="str">
        <f t="shared" si="137"/>
        <v/>
      </c>
      <c r="AF155" s="288" t="str">
        <f t="shared" si="138"/>
        <v/>
      </c>
      <c r="AG155" s="288" t="str">
        <f t="shared" si="139"/>
        <v/>
      </c>
      <c r="AH155" s="288" t="str">
        <f t="shared" si="140"/>
        <v/>
      </c>
      <c r="AI155" s="36">
        <f t="shared" si="141"/>
        <v>-1</v>
      </c>
      <c r="AJ155" s="36">
        <f t="shared" si="142"/>
        <v>-1</v>
      </c>
      <c r="AK155" s="36">
        <f t="shared" si="143"/>
        <v>-1</v>
      </c>
      <c r="AL155" s="36"/>
      <c r="AM155" s="36" t="str">
        <f t="shared" si="164"/>
        <v/>
      </c>
      <c r="AN155" s="288" t="str">
        <f t="shared" si="144"/>
        <v/>
      </c>
      <c r="AO155" s="288" t="str">
        <f t="shared" si="145"/>
        <v/>
      </c>
      <c r="AP155" s="288" t="str">
        <f t="shared" si="146"/>
        <v/>
      </c>
      <c r="AQ155" s="36">
        <f t="shared" ref="AQ155:AS155" si="189">AQ154</f>
        <v>3.3793103448275866E-2</v>
      </c>
      <c r="AR155" s="36">
        <f t="shared" si="189"/>
        <v>5.9329425287356324E-2</v>
      </c>
      <c r="AS155" s="36">
        <f t="shared" si="189"/>
        <v>8.4865747126436797E-2</v>
      </c>
      <c r="AT155" s="288">
        <f t="shared" si="148"/>
        <v>0.11040206896551726</v>
      </c>
    </row>
    <row r="156" spans="2:46">
      <c r="B156" s="287"/>
      <c r="C156" s="707"/>
      <c r="D156" s="707"/>
      <c r="E156" s="707"/>
      <c r="F156" s="707"/>
      <c r="G156" s="707"/>
      <c r="H156" s="707"/>
      <c r="I156" s="707"/>
      <c r="J156" s="707"/>
      <c r="K156" s="707"/>
      <c r="L156" s="707"/>
      <c r="M156" s="707"/>
      <c r="N156" s="707"/>
      <c r="O156" s="707"/>
      <c r="P156" s="707"/>
      <c r="Q156" s="707"/>
      <c r="R156" s="707"/>
      <c r="S156" s="707"/>
      <c r="T156" s="707"/>
      <c r="U156" s="707"/>
      <c r="V156" s="707"/>
      <c r="W156" s="707"/>
      <c r="X156" s="707"/>
      <c r="Y156" s="707"/>
      <c r="Z156" s="707"/>
      <c r="AA156" s="36" t="str">
        <f t="shared" si="162"/>
        <v/>
      </c>
      <c r="AB156" s="288" t="str">
        <f t="shared" si="134"/>
        <v/>
      </c>
      <c r="AC156" s="288" t="str">
        <f t="shared" si="135"/>
        <v/>
      </c>
      <c r="AD156" s="288" t="str">
        <f t="shared" si="136"/>
        <v/>
      </c>
      <c r="AE156" s="288" t="str">
        <f t="shared" si="137"/>
        <v/>
      </c>
      <c r="AF156" s="288" t="str">
        <f t="shared" si="138"/>
        <v/>
      </c>
      <c r="AG156" s="288" t="str">
        <f t="shared" si="139"/>
        <v/>
      </c>
      <c r="AH156" s="288" t="str">
        <f t="shared" si="140"/>
        <v/>
      </c>
      <c r="AI156" s="36">
        <f t="shared" si="141"/>
        <v>-1</v>
      </c>
      <c r="AJ156" s="36">
        <f t="shared" si="142"/>
        <v>-1</v>
      </c>
      <c r="AK156" s="36">
        <f t="shared" si="143"/>
        <v>-1</v>
      </c>
      <c r="AL156" s="36"/>
      <c r="AM156" s="36" t="str">
        <f t="shared" si="164"/>
        <v/>
      </c>
      <c r="AN156" s="288" t="str">
        <f t="shared" si="144"/>
        <v/>
      </c>
      <c r="AO156" s="288" t="str">
        <f t="shared" si="145"/>
        <v/>
      </c>
      <c r="AP156" s="288" t="str">
        <f t="shared" si="146"/>
        <v/>
      </c>
      <c r="AQ156" s="36">
        <f t="shared" ref="AQ156:AS156" si="190">AQ155</f>
        <v>3.3793103448275866E-2</v>
      </c>
      <c r="AR156" s="36">
        <f t="shared" si="190"/>
        <v>5.9329425287356324E-2</v>
      </c>
      <c r="AS156" s="36">
        <f t="shared" si="190"/>
        <v>8.4865747126436797E-2</v>
      </c>
      <c r="AT156" s="288">
        <f t="shared" si="148"/>
        <v>0.11040206896551726</v>
      </c>
    </row>
    <row r="157" spans="2:46">
      <c r="B157" s="287"/>
      <c r="C157" s="707"/>
      <c r="D157" s="707"/>
      <c r="E157" s="707"/>
      <c r="F157" s="707"/>
      <c r="G157" s="707"/>
      <c r="H157" s="707"/>
      <c r="I157" s="707"/>
      <c r="J157" s="707"/>
      <c r="K157" s="707"/>
      <c r="L157" s="707"/>
      <c r="M157" s="707"/>
      <c r="N157" s="707"/>
      <c r="O157" s="707"/>
      <c r="P157" s="707"/>
      <c r="Q157" s="707"/>
      <c r="R157" s="707"/>
      <c r="S157" s="707"/>
      <c r="T157" s="707"/>
      <c r="U157" s="707"/>
      <c r="V157" s="707"/>
      <c r="W157" s="707"/>
      <c r="X157" s="707"/>
      <c r="Y157" s="707"/>
      <c r="Z157" s="707"/>
      <c r="AA157" s="36" t="str">
        <f t="shared" si="162"/>
        <v/>
      </c>
      <c r="AB157" s="288" t="str">
        <f t="shared" si="134"/>
        <v/>
      </c>
      <c r="AC157" s="288" t="str">
        <f t="shared" si="135"/>
        <v/>
      </c>
      <c r="AD157" s="288" t="str">
        <f t="shared" si="136"/>
        <v/>
      </c>
      <c r="AE157" s="288" t="str">
        <f t="shared" si="137"/>
        <v/>
      </c>
      <c r="AF157" s="288" t="str">
        <f t="shared" si="138"/>
        <v/>
      </c>
      <c r="AG157" s="288" t="str">
        <f t="shared" si="139"/>
        <v/>
      </c>
      <c r="AH157" s="288" t="str">
        <f t="shared" si="140"/>
        <v/>
      </c>
      <c r="AI157" s="36">
        <f t="shared" si="141"/>
        <v>-1</v>
      </c>
      <c r="AJ157" s="36">
        <f t="shared" si="142"/>
        <v>-1</v>
      </c>
      <c r="AK157" s="36">
        <f t="shared" si="143"/>
        <v>-1</v>
      </c>
      <c r="AL157" s="36"/>
      <c r="AM157" s="36" t="str">
        <f t="shared" si="164"/>
        <v/>
      </c>
      <c r="AN157" s="288" t="str">
        <f t="shared" si="144"/>
        <v/>
      </c>
      <c r="AO157" s="288" t="str">
        <f t="shared" si="145"/>
        <v/>
      </c>
      <c r="AP157" s="288" t="str">
        <f t="shared" si="146"/>
        <v/>
      </c>
      <c r="AQ157" s="36">
        <f t="shared" ref="AQ157:AS157" si="191">AQ156</f>
        <v>3.3793103448275866E-2</v>
      </c>
      <c r="AR157" s="36">
        <f t="shared" si="191"/>
        <v>5.9329425287356324E-2</v>
      </c>
      <c r="AS157" s="36">
        <f t="shared" si="191"/>
        <v>8.4865747126436797E-2</v>
      </c>
      <c r="AT157" s="288">
        <f t="shared" si="148"/>
        <v>0.11040206896551726</v>
      </c>
    </row>
    <row r="158" spans="2:46">
      <c r="B158" s="287"/>
      <c r="C158" s="707"/>
      <c r="D158" s="707"/>
      <c r="E158" s="707"/>
      <c r="F158" s="707"/>
      <c r="G158" s="707"/>
      <c r="H158" s="707"/>
      <c r="I158" s="707"/>
      <c r="J158" s="707"/>
      <c r="K158" s="707"/>
      <c r="L158" s="707"/>
      <c r="M158" s="707"/>
      <c r="N158" s="707"/>
      <c r="O158" s="707"/>
      <c r="P158" s="707"/>
      <c r="Q158" s="707"/>
      <c r="R158" s="707"/>
      <c r="S158" s="707"/>
      <c r="T158" s="707"/>
      <c r="U158" s="707"/>
      <c r="V158" s="707"/>
      <c r="W158" s="707"/>
      <c r="X158" s="707"/>
      <c r="Y158" s="707"/>
      <c r="Z158" s="707"/>
      <c r="AA158" s="36" t="str">
        <f t="shared" si="162"/>
        <v/>
      </c>
      <c r="AB158" s="288" t="str">
        <f t="shared" si="134"/>
        <v/>
      </c>
      <c r="AC158" s="288" t="str">
        <f t="shared" si="135"/>
        <v/>
      </c>
      <c r="AD158" s="288" t="str">
        <f t="shared" si="136"/>
        <v/>
      </c>
      <c r="AE158" s="288" t="str">
        <f t="shared" si="137"/>
        <v/>
      </c>
      <c r="AF158" s="288" t="str">
        <f t="shared" si="138"/>
        <v/>
      </c>
      <c r="AG158" s="288" t="str">
        <f t="shared" si="139"/>
        <v/>
      </c>
      <c r="AH158" s="288" t="str">
        <f t="shared" si="140"/>
        <v/>
      </c>
      <c r="AI158" s="36">
        <f t="shared" si="141"/>
        <v>-1</v>
      </c>
      <c r="AJ158" s="36">
        <f t="shared" si="142"/>
        <v>-1</v>
      </c>
      <c r="AK158" s="36">
        <f t="shared" si="143"/>
        <v>-1</v>
      </c>
      <c r="AL158" s="36"/>
      <c r="AM158" s="36" t="str">
        <f t="shared" si="164"/>
        <v/>
      </c>
      <c r="AN158" s="288" t="str">
        <f t="shared" si="144"/>
        <v/>
      </c>
      <c r="AO158" s="288" t="str">
        <f t="shared" si="145"/>
        <v/>
      </c>
      <c r="AP158" s="288" t="str">
        <f t="shared" si="146"/>
        <v/>
      </c>
      <c r="AQ158" s="36">
        <f t="shared" ref="AQ158:AS158" si="192">AQ157</f>
        <v>3.3793103448275866E-2</v>
      </c>
      <c r="AR158" s="36">
        <f t="shared" si="192"/>
        <v>5.9329425287356324E-2</v>
      </c>
      <c r="AS158" s="36">
        <f t="shared" si="192"/>
        <v>8.4865747126436797E-2</v>
      </c>
      <c r="AT158" s="288">
        <f t="shared" si="148"/>
        <v>0.11040206896551726</v>
      </c>
    </row>
    <row r="159" spans="2:46">
      <c r="B159" s="287"/>
      <c r="C159" s="707"/>
      <c r="D159" s="707"/>
      <c r="E159" s="707"/>
      <c r="F159" s="707"/>
      <c r="G159" s="707"/>
      <c r="H159" s="707"/>
      <c r="I159" s="707"/>
      <c r="J159" s="707"/>
      <c r="K159" s="707"/>
      <c r="L159" s="707"/>
      <c r="M159" s="707"/>
      <c r="N159" s="707"/>
      <c r="O159" s="707"/>
      <c r="P159" s="707"/>
      <c r="Q159" s="707"/>
      <c r="R159" s="707"/>
      <c r="S159" s="707"/>
      <c r="T159" s="707"/>
      <c r="U159" s="707"/>
      <c r="V159" s="707"/>
      <c r="W159" s="707"/>
      <c r="X159" s="707"/>
      <c r="Y159" s="707"/>
      <c r="Z159" s="707"/>
      <c r="AA159" s="36" t="str">
        <f t="shared" si="162"/>
        <v/>
      </c>
      <c r="AB159" s="288" t="str">
        <f t="shared" si="134"/>
        <v/>
      </c>
      <c r="AC159" s="288" t="str">
        <f t="shared" si="135"/>
        <v/>
      </c>
      <c r="AD159" s="288" t="str">
        <f t="shared" si="136"/>
        <v/>
      </c>
      <c r="AE159" s="288" t="str">
        <f t="shared" si="137"/>
        <v/>
      </c>
      <c r="AF159" s="288" t="str">
        <f t="shared" si="138"/>
        <v/>
      </c>
      <c r="AG159" s="288" t="str">
        <f t="shared" si="139"/>
        <v/>
      </c>
      <c r="AH159" s="288" t="str">
        <f t="shared" si="140"/>
        <v/>
      </c>
      <c r="AI159" s="36">
        <f t="shared" si="141"/>
        <v>-1</v>
      </c>
      <c r="AJ159" s="36">
        <f t="shared" si="142"/>
        <v>-1</v>
      </c>
      <c r="AK159" s="36">
        <f t="shared" si="143"/>
        <v>-1</v>
      </c>
      <c r="AL159" s="36"/>
      <c r="AM159" s="36" t="str">
        <f t="shared" si="164"/>
        <v/>
      </c>
      <c r="AN159" s="288" t="str">
        <f t="shared" si="144"/>
        <v/>
      </c>
      <c r="AO159" s="288" t="str">
        <f t="shared" si="145"/>
        <v/>
      </c>
      <c r="AP159" s="288" t="str">
        <f t="shared" si="146"/>
        <v/>
      </c>
      <c r="AQ159" s="36">
        <f t="shared" ref="AQ159:AS159" si="193">AQ158</f>
        <v>3.3793103448275866E-2</v>
      </c>
      <c r="AR159" s="36">
        <f t="shared" si="193"/>
        <v>5.9329425287356324E-2</v>
      </c>
      <c r="AS159" s="36">
        <f t="shared" si="193"/>
        <v>8.4865747126436797E-2</v>
      </c>
      <c r="AT159" s="288">
        <f t="shared" si="148"/>
        <v>0.11040206896551726</v>
      </c>
    </row>
    <row r="160" spans="2:46">
      <c r="B160" s="287"/>
      <c r="C160" s="707"/>
      <c r="D160" s="707"/>
      <c r="E160" s="707"/>
      <c r="F160" s="707"/>
      <c r="G160" s="707"/>
      <c r="H160" s="707"/>
      <c r="I160" s="707"/>
      <c r="J160" s="707"/>
      <c r="K160" s="707"/>
      <c r="L160" s="707"/>
      <c r="M160" s="707"/>
      <c r="N160" s="707"/>
      <c r="O160" s="707"/>
      <c r="P160" s="707"/>
      <c r="Q160" s="707"/>
      <c r="R160" s="707"/>
      <c r="S160" s="707"/>
      <c r="T160" s="707"/>
      <c r="U160" s="707"/>
      <c r="V160" s="707"/>
      <c r="W160" s="707"/>
      <c r="X160" s="707"/>
      <c r="Y160" s="707"/>
      <c r="Z160" s="707"/>
      <c r="AA160" s="36" t="str">
        <f t="shared" si="162"/>
        <v/>
      </c>
      <c r="AB160" s="288" t="str">
        <f t="shared" si="134"/>
        <v/>
      </c>
      <c r="AC160" s="288" t="str">
        <f t="shared" si="135"/>
        <v/>
      </c>
      <c r="AD160" s="288" t="str">
        <f t="shared" si="136"/>
        <v/>
      </c>
      <c r="AE160" s="288" t="str">
        <f t="shared" si="137"/>
        <v/>
      </c>
      <c r="AF160" s="288" t="str">
        <f t="shared" si="138"/>
        <v/>
      </c>
      <c r="AG160" s="288" t="str">
        <f t="shared" si="139"/>
        <v/>
      </c>
      <c r="AH160" s="288" t="str">
        <f t="shared" si="140"/>
        <v/>
      </c>
      <c r="AI160" s="36">
        <f t="shared" si="141"/>
        <v>-1</v>
      </c>
      <c r="AJ160" s="36">
        <f t="shared" si="142"/>
        <v>-1</v>
      </c>
      <c r="AK160" s="36">
        <f t="shared" si="143"/>
        <v>-1</v>
      </c>
      <c r="AL160" s="36"/>
      <c r="AM160" s="36" t="str">
        <f t="shared" si="164"/>
        <v/>
      </c>
      <c r="AN160" s="288" t="str">
        <f t="shared" si="144"/>
        <v/>
      </c>
      <c r="AO160" s="288" t="str">
        <f t="shared" si="145"/>
        <v/>
      </c>
      <c r="AP160" s="288" t="str">
        <f t="shared" si="146"/>
        <v/>
      </c>
      <c r="AQ160" s="36">
        <f t="shared" ref="AQ160:AS160" si="194">AQ159</f>
        <v>3.3793103448275866E-2</v>
      </c>
      <c r="AR160" s="36">
        <f t="shared" si="194"/>
        <v>5.9329425287356324E-2</v>
      </c>
      <c r="AS160" s="36">
        <f t="shared" si="194"/>
        <v>8.4865747126436797E-2</v>
      </c>
      <c r="AT160" s="288">
        <f t="shared" si="148"/>
        <v>0.11040206896551726</v>
      </c>
    </row>
    <row r="161" spans="2:46">
      <c r="B161" s="287"/>
      <c r="C161" s="707"/>
      <c r="D161" s="707"/>
      <c r="E161" s="707"/>
      <c r="F161" s="707"/>
      <c r="G161" s="707"/>
      <c r="H161" s="707"/>
      <c r="I161" s="707"/>
      <c r="J161" s="707"/>
      <c r="K161" s="707"/>
      <c r="L161" s="707"/>
      <c r="M161" s="707"/>
      <c r="N161" s="707"/>
      <c r="O161" s="707"/>
      <c r="P161" s="707"/>
      <c r="Q161" s="707"/>
      <c r="R161" s="707"/>
      <c r="S161" s="707"/>
      <c r="T161" s="707"/>
      <c r="U161" s="707"/>
      <c r="V161" s="707"/>
      <c r="W161" s="707"/>
      <c r="X161" s="707"/>
      <c r="Y161" s="707"/>
      <c r="Z161" s="707"/>
      <c r="AA161" s="36" t="str">
        <f t="shared" si="162"/>
        <v/>
      </c>
      <c r="AB161" s="288" t="str">
        <f t="shared" si="134"/>
        <v/>
      </c>
      <c r="AC161" s="288" t="str">
        <f t="shared" si="135"/>
        <v/>
      </c>
      <c r="AD161" s="288" t="str">
        <f t="shared" si="136"/>
        <v/>
      </c>
      <c r="AE161" s="288" t="str">
        <f t="shared" si="137"/>
        <v/>
      </c>
      <c r="AF161" s="288" t="str">
        <f t="shared" si="138"/>
        <v/>
      </c>
      <c r="AG161" s="288" t="str">
        <f t="shared" si="139"/>
        <v/>
      </c>
      <c r="AH161" s="288" t="str">
        <f t="shared" si="140"/>
        <v/>
      </c>
      <c r="AI161" s="36">
        <f t="shared" si="141"/>
        <v>-1</v>
      </c>
      <c r="AJ161" s="36">
        <f t="shared" si="142"/>
        <v>-1</v>
      </c>
      <c r="AK161" s="36">
        <f t="shared" si="143"/>
        <v>-1</v>
      </c>
      <c r="AL161" s="36"/>
      <c r="AM161" s="36" t="str">
        <f t="shared" si="164"/>
        <v/>
      </c>
      <c r="AN161" s="288" t="str">
        <f t="shared" si="144"/>
        <v/>
      </c>
      <c r="AO161" s="288" t="str">
        <f t="shared" si="145"/>
        <v/>
      </c>
      <c r="AP161" s="288" t="str">
        <f t="shared" si="146"/>
        <v/>
      </c>
      <c r="AQ161" s="36">
        <f t="shared" ref="AQ161:AS161" si="195">AQ160</f>
        <v>3.3793103448275866E-2</v>
      </c>
      <c r="AR161" s="36">
        <f t="shared" si="195"/>
        <v>5.9329425287356324E-2</v>
      </c>
      <c r="AS161" s="36">
        <f t="shared" si="195"/>
        <v>8.4865747126436797E-2</v>
      </c>
      <c r="AT161" s="288">
        <f t="shared" si="148"/>
        <v>0.11040206896551726</v>
      </c>
    </row>
    <row r="162" spans="2:46">
      <c r="B162" s="287"/>
      <c r="C162" s="707"/>
      <c r="D162" s="707"/>
      <c r="E162" s="707"/>
      <c r="F162" s="707"/>
      <c r="G162" s="707"/>
      <c r="H162" s="707"/>
      <c r="I162" s="707"/>
      <c r="J162" s="707"/>
      <c r="K162" s="707"/>
      <c r="L162" s="707"/>
      <c r="M162" s="707"/>
      <c r="N162" s="707"/>
      <c r="O162" s="707"/>
      <c r="P162" s="707"/>
      <c r="Q162" s="707"/>
      <c r="R162" s="707"/>
      <c r="S162" s="707"/>
      <c r="T162" s="707"/>
      <c r="U162" s="707"/>
      <c r="V162" s="707"/>
      <c r="W162" s="707"/>
      <c r="X162" s="707"/>
      <c r="Y162" s="707"/>
      <c r="Z162" s="707"/>
      <c r="AA162" s="36" t="str">
        <f t="shared" si="162"/>
        <v/>
      </c>
      <c r="AB162" s="288" t="str">
        <f t="shared" si="134"/>
        <v/>
      </c>
      <c r="AC162" s="288" t="str">
        <f t="shared" si="135"/>
        <v/>
      </c>
      <c r="AD162" s="288" t="str">
        <f t="shared" si="136"/>
        <v/>
      </c>
      <c r="AE162" s="288" t="str">
        <f t="shared" si="137"/>
        <v/>
      </c>
      <c r="AF162" s="288" t="str">
        <f t="shared" si="138"/>
        <v/>
      </c>
      <c r="AG162" s="288" t="str">
        <f t="shared" si="139"/>
        <v/>
      </c>
      <c r="AH162" s="288" t="str">
        <f t="shared" si="140"/>
        <v/>
      </c>
      <c r="AI162" s="36">
        <f t="shared" si="141"/>
        <v>-1</v>
      </c>
      <c r="AJ162" s="36">
        <f t="shared" si="142"/>
        <v>-1</v>
      </c>
      <c r="AK162" s="36">
        <f t="shared" si="143"/>
        <v>-1</v>
      </c>
      <c r="AL162" s="36"/>
      <c r="AM162" s="36" t="str">
        <f t="shared" si="164"/>
        <v/>
      </c>
      <c r="AN162" s="288" t="str">
        <f t="shared" si="144"/>
        <v/>
      </c>
      <c r="AO162" s="288" t="str">
        <f t="shared" si="145"/>
        <v/>
      </c>
      <c r="AP162" s="288" t="str">
        <f t="shared" si="146"/>
        <v/>
      </c>
      <c r="AQ162" s="36">
        <f t="shared" ref="AQ162:AS162" si="196">AQ161</f>
        <v>3.3793103448275866E-2</v>
      </c>
      <c r="AR162" s="36">
        <f t="shared" si="196"/>
        <v>5.9329425287356324E-2</v>
      </c>
      <c r="AS162" s="36">
        <f t="shared" si="196"/>
        <v>8.4865747126436797E-2</v>
      </c>
      <c r="AT162" s="288">
        <f t="shared" si="148"/>
        <v>0.11040206896551726</v>
      </c>
    </row>
    <row r="163" spans="2:46">
      <c r="B163" s="287"/>
      <c r="C163" s="707"/>
      <c r="D163" s="707"/>
      <c r="E163" s="707"/>
      <c r="F163" s="707"/>
      <c r="G163" s="707"/>
      <c r="H163" s="707"/>
      <c r="I163" s="707"/>
      <c r="J163" s="707"/>
      <c r="K163" s="707"/>
      <c r="L163" s="707"/>
      <c r="M163" s="707"/>
      <c r="N163" s="707"/>
      <c r="O163" s="707"/>
      <c r="P163" s="707"/>
      <c r="Q163" s="707"/>
      <c r="R163" s="707"/>
      <c r="S163" s="707"/>
      <c r="T163" s="707"/>
      <c r="U163" s="707"/>
      <c r="V163" s="707"/>
      <c r="W163" s="707"/>
      <c r="X163" s="707"/>
      <c r="Y163" s="707"/>
      <c r="Z163" s="707"/>
      <c r="AA163" s="36" t="str">
        <f t="shared" si="162"/>
        <v/>
      </c>
      <c r="AB163" s="288" t="str">
        <f t="shared" si="134"/>
        <v/>
      </c>
      <c r="AC163" s="288" t="str">
        <f t="shared" si="135"/>
        <v/>
      </c>
      <c r="AD163" s="288" t="str">
        <f t="shared" si="136"/>
        <v/>
      </c>
      <c r="AE163" s="288" t="str">
        <f t="shared" si="137"/>
        <v/>
      </c>
      <c r="AF163" s="288" t="str">
        <f t="shared" si="138"/>
        <v/>
      </c>
      <c r="AG163" s="288" t="str">
        <f t="shared" si="139"/>
        <v/>
      </c>
      <c r="AH163" s="288" t="str">
        <f t="shared" si="140"/>
        <v/>
      </c>
      <c r="AI163" s="36">
        <f t="shared" si="141"/>
        <v>-1</v>
      </c>
      <c r="AJ163" s="36">
        <f t="shared" si="142"/>
        <v>-1</v>
      </c>
      <c r="AK163" s="36">
        <f t="shared" si="143"/>
        <v>-1</v>
      </c>
      <c r="AL163" s="36"/>
      <c r="AM163" s="36" t="str">
        <f t="shared" si="164"/>
        <v/>
      </c>
      <c r="AN163" s="288" t="str">
        <f t="shared" si="144"/>
        <v/>
      </c>
      <c r="AO163" s="288" t="str">
        <f t="shared" si="145"/>
        <v/>
      </c>
      <c r="AP163" s="288" t="str">
        <f t="shared" si="146"/>
        <v/>
      </c>
      <c r="AQ163" s="36">
        <f t="shared" ref="AQ163:AS163" si="197">AQ162</f>
        <v>3.3793103448275866E-2</v>
      </c>
      <c r="AR163" s="36">
        <f t="shared" si="197"/>
        <v>5.9329425287356324E-2</v>
      </c>
      <c r="AS163" s="36">
        <f t="shared" si="197"/>
        <v>8.4865747126436797E-2</v>
      </c>
      <c r="AT163" s="288">
        <f t="shared" si="148"/>
        <v>0.11040206896551726</v>
      </c>
    </row>
    <row r="164" spans="2:46">
      <c r="B164" s="287"/>
      <c r="C164" s="707"/>
      <c r="D164" s="707"/>
      <c r="E164" s="707"/>
      <c r="F164" s="707"/>
      <c r="G164" s="707"/>
      <c r="H164" s="707"/>
      <c r="I164" s="707"/>
      <c r="J164" s="707"/>
      <c r="K164" s="707"/>
      <c r="L164" s="707"/>
      <c r="M164" s="707"/>
      <c r="N164" s="707"/>
      <c r="O164" s="707"/>
      <c r="P164" s="707"/>
      <c r="Q164" s="707"/>
      <c r="R164" s="707"/>
      <c r="S164" s="707"/>
      <c r="T164" s="707"/>
      <c r="U164" s="707"/>
      <c r="V164" s="707"/>
      <c r="W164" s="707"/>
      <c r="X164" s="707"/>
      <c r="Y164" s="707"/>
      <c r="Z164" s="707"/>
      <c r="AA164" s="36" t="str">
        <f t="shared" si="162"/>
        <v/>
      </c>
      <c r="AB164" s="288" t="str">
        <f t="shared" si="134"/>
        <v/>
      </c>
      <c r="AC164" s="288" t="str">
        <f t="shared" si="135"/>
        <v/>
      </c>
      <c r="AD164" s="288" t="str">
        <f t="shared" si="136"/>
        <v/>
      </c>
      <c r="AE164" s="288" t="str">
        <f t="shared" si="137"/>
        <v/>
      </c>
      <c r="AF164" s="288" t="str">
        <f t="shared" si="138"/>
        <v/>
      </c>
      <c r="AG164" s="288" t="str">
        <f t="shared" si="139"/>
        <v/>
      </c>
      <c r="AH164" s="288" t="str">
        <f t="shared" si="140"/>
        <v/>
      </c>
      <c r="AI164" s="36">
        <f t="shared" si="141"/>
        <v>-1</v>
      </c>
      <c r="AJ164" s="36">
        <f t="shared" si="142"/>
        <v>-1</v>
      </c>
      <c r="AK164" s="36">
        <f t="shared" si="143"/>
        <v>-1</v>
      </c>
      <c r="AL164" s="36"/>
      <c r="AM164" s="36" t="str">
        <f t="shared" si="164"/>
        <v/>
      </c>
      <c r="AN164" s="288" t="str">
        <f t="shared" si="144"/>
        <v/>
      </c>
      <c r="AO164" s="288" t="str">
        <f t="shared" si="145"/>
        <v/>
      </c>
      <c r="AP164" s="288" t="str">
        <f t="shared" si="146"/>
        <v/>
      </c>
      <c r="AQ164" s="36">
        <f t="shared" ref="AQ164:AS164" si="198">AQ163</f>
        <v>3.3793103448275866E-2</v>
      </c>
      <c r="AR164" s="36">
        <f t="shared" si="198"/>
        <v>5.9329425287356324E-2</v>
      </c>
      <c r="AS164" s="36">
        <f t="shared" si="198"/>
        <v>8.4865747126436797E-2</v>
      </c>
      <c r="AT164" s="288">
        <f t="shared" si="148"/>
        <v>0.11040206896551726</v>
      </c>
    </row>
    <row r="165" spans="2:46">
      <c r="B165" s="287"/>
      <c r="C165" s="707"/>
      <c r="D165" s="707"/>
      <c r="E165" s="707"/>
      <c r="F165" s="707"/>
      <c r="G165" s="707"/>
      <c r="H165" s="707"/>
      <c r="I165" s="707"/>
      <c r="J165" s="707"/>
      <c r="K165" s="707"/>
      <c r="L165" s="707"/>
      <c r="M165" s="707"/>
      <c r="N165" s="707"/>
      <c r="O165" s="707"/>
      <c r="P165" s="707"/>
      <c r="Q165" s="707"/>
      <c r="R165" s="707"/>
      <c r="S165" s="707"/>
      <c r="T165" s="707"/>
      <c r="U165" s="707"/>
      <c r="V165" s="707"/>
      <c r="W165" s="707"/>
      <c r="X165" s="707"/>
      <c r="Y165" s="707"/>
      <c r="Z165" s="707"/>
      <c r="AA165" s="36" t="str">
        <f t="shared" si="162"/>
        <v/>
      </c>
      <c r="AB165" s="288" t="str">
        <f t="shared" si="134"/>
        <v/>
      </c>
      <c r="AC165" s="288" t="str">
        <f t="shared" si="135"/>
        <v/>
      </c>
      <c r="AD165" s="288" t="str">
        <f t="shared" si="136"/>
        <v/>
      </c>
      <c r="AE165" s="288" t="str">
        <f t="shared" si="137"/>
        <v/>
      </c>
      <c r="AF165" s="288" t="str">
        <f t="shared" si="138"/>
        <v/>
      </c>
      <c r="AG165" s="288" t="str">
        <f t="shared" si="139"/>
        <v/>
      </c>
      <c r="AH165" s="288" t="str">
        <f t="shared" si="140"/>
        <v/>
      </c>
      <c r="AI165" s="36">
        <f t="shared" si="141"/>
        <v>-1</v>
      </c>
      <c r="AJ165" s="36">
        <f t="shared" si="142"/>
        <v>-1</v>
      </c>
      <c r="AK165" s="36">
        <f t="shared" si="143"/>
        <v>-1</v>
      </c>
      <c r="AL165" s="36"/>
      <c r="AM165" s="36" t="str">
        <f t="shared" si="164"/>
        <v/>
      </c>
      <c r="AN165" s="288" t="str">
        <f t="shared" si="144"/>
        <v/>
      </c>
      <c r="AO165" s="288" t="str">
        <f t="shared" si="145"/>
        <v/>
      </c>
      <c r="AP165" s="288" t="str">
        <f t="shared" si="146"/>
        <v/>
      </c>
      <c r="AQ165" s="36">
        <f t="shared" ref="AQ165:AS165" si="199">AQ164</f>
        <v>3.3793103448275866E-2</v>
      </c>
      <c r="AR165" s="36">
        <f t="shared" si="199"/>
        <v>5.9329425287356324E-2</v>
      </c>
      <c r="AS165" s="36">
        <f t="shared" si="199"/>
        <v>8.4865747126436797E-2</v>
      </c>
      <c r="AT165" s="288">
        <f t="shared" si="148"/>
        <v>0.11040206896551726</v>
      </c>
    </row>
    <row r="166" spans="2:46">
      <c r="B166" s="287"/>
      <c r="C166" s="707"/>
      <c r="D166" s="707"/>
      <c r="E166" s="707"/>
      <c r="F166" s="707"/>
      <c r="G166" s="707"/>
      <c r="H166" s="707"/>
      <c r="I166" s="707"/>
      <c r="J166" s="707"/>
      <c r="K166" s="707"/>
      <c r="L166" s="707"/>
      <c r="M166" s="707"/>
      <c r="N166" s="707"/>
      <c r="O166" s="707"/>
      <c r="P166" s="707"/>
      <c r="Q166" s="707"/>
      <c r="R166" s="707"/>
      <c r="S166" s="707"/>
      <c r="T166" s="707"/>
      <c r="U166" s="707"/>
      <c r="V166" s="707"/>
      <c r="W166" s="707"/>
      <c r="X166" s="707"/>
      <c r="Y166" s="707"/>
      <c r="Z166" s="707"/>
      <c r="AA166" s="36" t="str">
        <f t="shared" si="162"/>
        <v/>
      </c>
      <c r="AB166" s="288" t="str">
        <f t="shared" si="134"/>
        <v/>
      </c>
      <c r="AC166" s="288" t="str">
        <f t="shared" si="135"/>
        <v/>
      </c>
      <c r="AD166" s="288" t="str">
        <f t="shared" si="136"/>
        <v/>
      </c>
      <c r="AE166" s="288" t="str">
        <f t="shared" si="137"/>
        <v/>
      </c>
      <c r="AF166" s="288" t="str">
        <f t="shared" si="138"/>
        <v/>
      </c>
      <c r="AG166" s="288" t="str">
        <f t="shared" si="139"/>
        <v/>
      </c>
      <c r="AH166" s="288" t="str">
        <f t="shared" si="140"/>
        <v/>
      </c>
      <c r="AI166" s="36">
        <f t="shared" si="141"/>
        <v>-1</v>
      </c>
      <c r="AJ166" s="36">
        <f t="shared" si="142"/>
        <v>-1</v>
      </c>
      <c r="AK166" s="36">
        <f t="shared" si="143"/>
        <v>-1</v>
      </c>
      <c r="AL166" s="36"/>
      <c r="AM166" s="36" t="str">
        <f t="shared" si="164"/>
        <v/>
      </c>
      <c r="AN166" s="288" t="str">
        <f t="shared" si="144"/>
        <v/>
      </c>
      <c r="AO166" s="288" t="str">
        <f t="shared" si="145"/>
        <v/>
      </c>
      <c r="AP166" s="288" t="str">
        <f t="shared" si="146"/>
        <v/>
      </c>
      <c r="AQ166" s="36">
        <f t="shared" ref="AQ166:AS166" si="200">AQ165</f>
        <v>3.3793103448275866E-2</v>
      </c>
      <c r="AR166" s="36">
        <f t="shared" si="200"/>
        <v>5.9329425287356324E-2</v>
      </c>
      <c r="AS166" s="36">
        <f t="shared" si="200"/>
        <v>8.4865747126436797E-2</v>
      </c>
      <c r="AT166" s="288">
        <f t="shared" si="148"/>
        <v>0.11040206896551726</v>
      </c>
    </row>
    <row r="167" spans="2:46">
      <c r="B167" s="287"/>
      <c r="C167" s="707"/>
      <c r="D167" s="707"/>
      <c r="E167" s="707"/>
      <c r="F167" s="707"/>
      <c r="G167" s="707"/>
      <c r="H167" s="707"/>
      <c r="I167" s="707"/>
      <c r="J167" s="707"/>
      <c r="K167" s="707"/>
      <c r="L167" s="707"/>
      <c r="M167" s="707"/>
      <c r="N167" s="707"/>
      <c r="O167" s="707"/>
      <c r="P167" s="707"/>
      <c r="Q167" s="707"/>
      <c r="R167" s="707"/>
      <c r="S167" s="707"/>
      <c r="T167" s="707"/>
      <c r="U167" s="707"/>
      <c r="V167" s="707"/>
      <c r="W167" s="707"/>
      <c r="X167" s="707"/>
      <c r="Y167" s="707"/>
      <c r="Z167" s="707"/>
      <c r="AA167" s="36" t="str">
        <f t="shared" si="162"/>
        <v/>
      </c>
      <c r="AB167" s="288" t="str">
        <f t="shared" si="134"/>
        <v/>
      </c>
      <c r="AC167" s="288" t="str">
        <f t="shared" si="135"/>
        <v/>
      </c>
      <c r="AD167" s="288" t="str">
        <f t="shared" si="136"/>
        <v/>
      </c>
      <c r="AE167" s="288" t="str">
        <f t="shared" si="137"/>
        <v/>
      </c>
      <c r="AF167" s="288" t="str">
        <f t="shared" si="138"/>
        <v/>
      </c>
      <c r="AG167" s="288" t="str">
        <f t="shared" si="139"/>
        <v/>
      </c>
      <c r="AH167" s="288" t="str">
        <f t="shared" si="140"/>
        <v/>
      </c>
      <c r="AI167" s="36">
        <f t="shared" si="141"/>
        <v>-1</v>
      </c>
      <c r="AJ167" s="36">
        <f t="shared" si="142"/>
        <v>-1</v>
      </c>
      <c r="AK167" s="36">
        <f t="shared" si="143"/>
        <v>-1</v>
      </c>
      <c r="AL167" s="36"/>
      <c r="AM167" s="36" t="str">
        <f t="shared" si="164"/>
        <v/>
      </c>
      <c r="AN167" s="288" t="str">
        <f t="shared" si="144"/>
        <v/>
      </c>
      <c r="AO167" s="288" t="str">
        <f t="shared" si="145"/>
        <v/>
      </c>
      <c r="AP167" s="288" t="str">
        <f t="shared" si="146"/>
        <v/>
      </c>
      <c r="AQ167" s="36">
        <f t="shared" ref="AQ167:AS167" si="201">AQ166</f>
        <v>3.3793103448275866E-2</v>
      </c>
      <c r="AR167" s="36">
        <f t="shared" si="201"/>
        <v>5.9329425287356324E-2</v>
      </c>
      <c r="AS167" s="36">
        <f t="shared" si="201"/>
        <v>8.4865747126436797E-2</v>
      </c>
      <c r="AT167" s="288">
        <f t="shared" si="148"/>
        <v>0.11040206896551726</v>
      </c>
    </row>
    <row r="168" spans="2:46">
      <c r="B168" s="287"/>
      <c r="C168" s="707"/>
      <c r="D168" s="707"/>
      <c r="E168" s="707"/>
      <c r="F168" s="707"/>
      <c r="G168" s="707"/>
      <c r="H168" s="707"/>
      <c r="I168" s="707"/>
      <c r="J168" s="707"/>
      <c r="K168" s="707"/>
      <c r="L168" s="707"/>
      <c r="M168" s="707"/>
      <c r="N168" s="707"/>
      <c r="O168" s="707"/>
      <c r="P168" s="707"/>
      <c r="Q168" s="707"/>
      <c r="R168" s="707"/>
      <c r="S168" s="707"/>
      <c r="T168" s="707"/>
      <c r="U168" s="707"/>
      <c r="V168" s="707"/>
      <c r="W168" s="707"/>
      <c r="X168" s="707"/>
      <c r="Y168" s="707"/>
      <c r="Z168" s="707"/>
      <c r="AA168" s="36" t="str">
        <f t="shared" si="162"/>
        <v/>
      </c>
      <c r="AB168" s="288" t="str">
        <f t="shared" si="134"/>
        <v/>
      </c>
      <c r="AC168" s="288" t="str">
        <f t="shared" si="135"/>
        <v/>
      </c>
      <c r="AD168" s="288" t="str">
        <f t="shared" si="136"/>
        <v/>
      </c>
      <c r="AE168" s="288" t="str">
        <f t="shared" si="137"/>
        <v/>
      </c>
      <c r="AF168" s="288" t="str">
        <f t="shared" si="138"/>
        <v/>
      </c>
      <c r="AG168" s="288" t="str">
        <f t="shared" si="139"/>
        <v/>
      </c>
      <c r="AH168" s="288" t="str">
        <f t="shared" si="140"/>
        <v/>
      </c>
      <c r="AI168" s="36">
        <f t="shared" si="141"/>
        <v>-1</v>
      </c>
      <c r="AJ168" s="36">
        <f t="shared" si="142"/>
        <v>-1</v>
      </c>
      <c r="AK168" s="36">
        <f t="shared" si="143"/>
        <v>-1</v>
      </c>
      <c r="AL168" s="36"/>
      <c r="AM168" s="36" t="str">
        <f t="shared" si="164"/>
        <v/>
      </c>
      <c r="AN168" s="288" t="str">
        <f t="shared" si="144"/>
        <v/>
      </c>
      <c r="AO168" s="288" t="str">
        <f t="shared" si="145"/>
        <v/>
      </c>
      <c r="AP168" s="288" t="str">
        <f t="shared" si="146"/>
        <v/>
      </c>
      <c r="AQ168" s="36">
        <f t="shared" ref="AQ168:AS168" si="202">AQ167</f>
        <v>3.3793103448275866E-2</v>
      </c>
      <c r="AR168" s="36">
        <f t="shared" si="202"/>
        <v>5.9329425287356324E-2</v>
      </c>
      <c r="AS168" s="36">
        <f t="shared" si="202"/>
        <v>8.4865747126436797E-2</v>
      </c>
      <c r="AT168" s="288">
        <f t="shared" si="148"/>
        <v>0.11040206896551726</v>
      </c>
    </row>
    <row r="169" spans="2:46">
      <c r="B169" s="287"/>
      <c r="C169" s="707"/>
      <c r="D169" s="707"/>
      <c r="E169" s="707"/>
      <c r="F169" s="707"/>
      <c r="G169" s="707"/>
      <c r="H169" s="707"/>
      <c r="I169" s="707"/>
      <c r="J169" s="707"/>
      <c r="K169" s="707"/>
      <c r="L169" s="707"/>
      <c r="M169" s="707"/>
      <c r="N169" s="707"/>
      <c r="O169" s="707"/>
      <c r="P169" s="707"/>
      <c r="Q169" s="707"/>
      <c r="R169" s="707"/>
      <c r="S169" s="707"/>
      <c r="T169" s="707"/>
      <c r="U169" s="707"/>
      <c r="V169" s="707"/>
      <c r="W169" s="707"/>
      <c r="X169" s="707"/>
      <c r="Y169" s="707"/>
      <c r="Z169" s="707"/>
      <c r="AA169" s="36" t="str">
        <f t="shared" si="162"/>
        <v/>
      </c>
      <c r="AB169" s="288" t="str">
        <f t="shared" si="134"/>
        <v/>
      </c>
      <c r="AC169" s="288" t="str">
        <f t="shared" si="135"/>
        <v/>
      </c>
      <c r="AD169" s="288" t="str">
        <f t="shared" si="136"/>
        <v/>
      </c>
      <c r="AE169" s="288" t="str">
        <f t="shared" si="137"/>
        <v/>
      </c>
      <c r="AF169" s="288" t="str">
        <f t="shared" si="138"/>
        <v/>
      </c>
      <c r="AG169" s="288" t="str">
        <f t="shared" si="139"/>
        <v/>
      </c>
      <c r="AH169" s="288" t="str">
        <f t="shared" si="140"/>
        <v/>
      </c>
      <c r="AI169" s="36">
        <f t="shared" si="141"/>
        <v>-1</v>
      </c>
      <c r="AJ169" s="36">
        <f t="shared" si="142"/>
        <v>-1</v>
      </c>
      <c r="AK169" s="36">
        <f t="shared" si="143"/>
        <v>-1</v>
      </c>
      <c r="AL169" s="36"/>
      <c r="AM169" s="36" t="str">
        <f t="shared" si="164"/>
        <v/>
      </c>
      <c r="AN169" s="288" t="str">
        <f t="shared" si="144"/>
        <v/>
      </c>
      <c r="AO169" s="288" t="str">
        <f t="shared" si="145"/>
        <v/>
      </c>
      <c r="AP169" s="288" t="str">
        <f t="shared" si="146"/>
        <v/>
      </c>
      <c r="AQ169" s="36">
        <f t="shared" ref="AQ169:AS169" si="203">AQ168</f>
        <v>3.3793103448275866E-2</v>
      </c>
      <c r="AR169" s="36">
        <f t="shared" si="203"/>
        <v>5.9329425287356324E-2</v>
      </c>
      <c r="AS169" s="36">
        <f t="shared" si="203"/>
        <v>8.4865747126436797E-2</v>
      </c>
      <c r="AT169" s="288">
        <f t="shared" si="148"/>
        <v>0.11040206896551726</v>
      </c>
    </row>
    <row r="170" spans="2:46">
      <c r="B170" s="287"/>
      <c r="C170" s="707"/>
      <c r="D170" s="707"/>
      <c r="E170" s="707"/>
      <c r="F170" s="707"/>
      <c r="G170" s="707"/>
      <c r="H170" s="707"/>
      <c r="I170" s="707"/>
      <c r="J170" s="707"/>
      <c r="K170" s="707"/>
      <c r="L170" s="707"/>
      <c r="M170" s="707"/>
      <c r="N170" s="707"/>
      <c r="O170" s="707"/>
      <c r="P170" s="707"/>
      <c r="Q170" s="707"/>
      <c r="R170" s="707"/>
      <c r="S170" s="707"/>
      <c r="T170" s="707"/>
      <c r="U170" s="707"/>
      <c r="V170" s="707"/>
      <c r="W170" s="707"/>
      <c r="X170" s="707"/>
      <c r="Y170" s="707"/>
      <c r="Z170" s="707"/>
      <c r="AA170" s="36" t="str">
        <f t="shared" si="162"/>
        <v/>
      </c>
      <c r="AB170" s="288" t="str">
        <f t="shared" si="134"/>
        <v/>
      </c>
      <c r="AC170" s="288" t="str">
        <f t="shared" si="135"/>
        <v/>
      </c>
      <c r="AD170" s="288" t="str">
        <f t="shared" si="136"/>
        <v/>
      </c>
      <c r="AE170" s="288" t="str">
        <f t="shared" si="137"/>
        <v/>
      </c>
      <c r="AF170" s="288" t="str">
        <f t="shared" si="138"/>
        <v/>
      </c>
      <c r="AG170" s="288" t="str">
        <f t="shared" si="139"/>
        <v/>
      </c>
      <c r="AH170" s="288" t="str">
        <f t="shared" si="140"/>
        <v/>
      </c>
      <c r="AI170" s="36">
        <f t="shared" si="141"/>
        <v>-1</v>
      </c>
      <c r="AJ170" s="36">
        <f t="shared" si="142"/>
        <v>-1</v>
      </c>
      <c r="AK170" s="36">
        <f t="shared" si="143"/>
        <v>-1</v>
      </c>
      <c r="AL170" s="36"/>
      <c r="AM170" s="36" t="str">
        <f t="shared" si="164"/>
        <v/>
      </c>
      <c r="AN170" s="288" t="str">
        <f t="shared" si="144"/>
        <v/>
      </c>
      <c r="AO170" s="288" t="str">
        <f t="shared" si="145"/>
        <v/>
      </c>
      <c r="AP170" s="288" t="str">
        <f t="shared" si="146"/>
        <v/>
      </c>
      <c r="AQ170" s="36">
        <f t="shared" ref="AQ170:AS170" si="204">AQ169</f>
        <v>3.3793103448275866E-2</v>
      </c>
      <c r="AR170" s="36">
        <f t="shared" si="204"/>
        <v>5.9329425287356324E-2</v>
      </c>
      <c r="AS170" s="36">
        <f t="shared" si="204"/>
        <v>8.4865747126436797E-2</v>
      </c>
      <c r="AT170" s="288">
        <f t="shared" si="148"/>
        <v>0.11040206896551726</v>
      </c>
    </row>
    <row r="171" spans="2:46">
      <c r="B171" s="287"/>
      <c r="C171" s="707"/>
      <c r="D171" s="707"/>
      <c r="E171" s="707"/>
      <c r="F171" s="707"/>
      <c r="G171" s="707"/>
      <c r="H171" s="707"/>
      <c r="I171" s="707"/>
      <c r="J171" s="707"/>
      <c r="K171" s="707"/>
      <c r="L171" s="707"/>
      <c r="M171" s="707"/>
      <c r="N171" s="707"/>
      <c r="O171" s="707"/>
      <c r="P171" s="707"/>
      <c r="Q171" s="707"/>
      <c r="R171" s="707"/>
      <c r="S171" s="707"/>
      <c r="T171" s="707"/>
      <c r="U171" s="707"/>
      <c r="V171" s="707"/>
      <c r="W171" s="707"/>
      <c r="X171" s="707"/>
      <c r="Y171" s="707"/>
      <c r="Z171" s="707"/>
      <c r="AA171" s="36" t="str">
        <f t="shared" si="162"/>
        <v/>
      </c>
      <c r="AB171" s="288" t="str">
        <f t="shared" si="134"/>
        <v/>
      </c>
      <c r="AC171" s="288" t="str">
        <f t="shared" si="135"/>
        <v/>
      </c>
      <c r="AD171" s="288" t="str">
        <f t="shared" si="136"/>
        <v/>
      </c>
      <c r="AE171" s="288" t="str">
        <f t="shared" si="137"/>
        <v/>
      </c>
      <c r="AF171" s="288" t="str">
        <f t="shared" si="138"/>
        <v/>
      </c>
      <c r="AG171" s="288" t="str">
        <f t="shared" si="139"/>
        <v/>
      </c>
      <c r="AH171" s="288" t="str">
        <f t="shared" si="140"/>
        <v/>
      </c>
      <c r="AI171" s="36">
        <f t="shared" si="141"/>
        <v>-1</v>
      </c>
      <c r="AJ171" s="36">
        <f t="shared" si="142"/>
        <v>-1</v>
      </c>
      <c r="AK171" s="36">
        <f t="shared" si="143"/>
        <v>-1</v>
      </c>
      <c r="AL171" s="36"/>
      <c r="AM171" s="36" t="str">
        <f t="shared" si="164"/>
        <v/>
      </c>
      <c r="AN171" s="288" t="str">
        <f t="shared" si="144"/>
        <v/>
      </c>
      <c r="AO171" s="288" t="str">
        <f t="shared" si="145"/>
        <v/>
      </c>
      <c r="AP171" s="288" t="str">
        <f t="shared" si="146"/>
        <v/>
      </c>
      <c r="AQ171" s="36">
        <f t="shared" ref="AQ171:AS171" si="205">AQ170</f>
        <v>3.3793103448275866E-2</v>
      </c>
      <c r="AR171" s="36">
        <f t="shared" si="205"/>
        <v>5.9329425287356324E-2</v>
      </c>
      <c r="AS171" s="36">
        <f t="shared" si="205"/>
        <v>8.4865747126436797E-2</v>
      </c>
      <c r="AT171" s="288">
        <f t="shared" si="148"/>
        <v>0.11040206896551726</v>
      </c>
    </row>
    <row r="172" spans="2:46">
      <c r="B172" s="287"/>
      <c r="C172" s="707"/>
      <c r="D172" s="707"/>
      <c r="E172" s="707"/>
      <c r="F172" s="707"/>
      <c r="G172" s="707"/>
      <c r="H172" s="707"/>
      <c r="I172" s="707"/>
      <c r="J172" s="707"/>
      <c r="K172" s="707"/>
      <c r="L172" s="707"/>
      <c r="M172" s="707"/>
      <c r="N172" s="707"/>
      <c r="O172" s="707"/>
      <c r="P172" s="707"/>
      <c r="Q172" s="707"/>
      <c r="R172" s="707"/>
      <c r="S172" s="707"/>
      <c r="T172" s="707"/>
      <c r="U172" s="707"/>
      <c r="V172" s="707"/>
      <c r="W172" s="707"/>
      <c r="X172" s="707"/>
      <c r="Y172" s="707"/>
      <c r="Z172" s="707"/>
      <c r="AA172" s="36" t="str">
        <f t="shared" si="162"/>
        <v/>
      </c>
      <c r="AB172" s="288" t="str">
        <f t="shared" si="134"/>
        <v/>
      </c>
      <c r="AC172" s="288" t="str">
        <f t="shared" si="135"/>
        <v/>
      </c>
      <c r="AD172" s="288" t="str">
        <f t="shared" si="136"/>
        <v/>
      </c>
      <c r="AE172" s="288" t="str">
        <f t="shared" si="137"/>
        <v/>
      </c>
      <c r="AF172" s="288" t="str">
        <f t="shared" si="138"/>
        <v/>
      </c>
      <c r="AG172" s="288" t="str">
        <f t="shared" si="139"/>
        <v/>
      </c>
      <c r="AH172" s="288" t="str">
        <f t="shared" si="140"/>
        <v/>
      </c>
      <c r="AI172" s="36">
        <f t="shared" si="141"/>
        <v>-1</v>
      </c>
      <c r="AJ172" s="36">
        <f t="shared" si="142"/>
        <v>-1</v>
      </c>
      <c r="AK172" s="36">
        <f t="shared" si="143"/>
        <v>-1</v>
      </c>
      <c r="AL172" s="36"/>
      <c r="AM172" s="36" t="str">
        <f t="shared" si="164"/>
        <v/>
      </c>
      <c r="AN172" s="288" t="str">
        <f t="shared" si="144"/>
        <v/>
      </c>
      <c r="AO172" s="288" t="str">
        <f t="shared" si="145"/>
        <v/>
      </c>
      <c r="AP172" s="288" t="str">
        <f t="shared" si="146"/>
        <v/>
      </c>
      <c r="AQ172" s="36">
        <f t="shared" ref="AQ172:AS172" si="206">AQ171</f>
        <v>3.3793103448275866E-2</v>
      </c>
      <c r="AR172" s="36">
        <f t="shared" si="206"/>
        <v>5.9329425287356324E-2</v>
      </c>
      <c r="AS172" s="36">
        <f t="shared" si="206"/>
        <v>8.4865747126436797E-2</v>
      </c>
      <c r="AT172" s="288">
        <f t="shared" si="148"/>
        <v>0.11040206896551726</v>
      </c>
    </row>
    <row r="173" spans="2:46">
      <c r="B173" s="287"/>
      <c r="C173" s="707"/>
      <c r="D173" s="707"/>
      <c r="E173" s="707"/>
      <c r="F173" s="707"/>
      <c r="G173" s="707"/>
      <c r="H173" s="707"/>
      <c r="I173" s="707"/>
      <c r="J173" s="707"/>
      <c r="K173" s="707"/>
      <c r="L173" s="707"/>
      <c r="M173" s="707"/>
      <c r="N173" s="707"/>
      <c r="O173" s="707"/>
      <c r="P173" s="707"/>
      <c r="Q173" s="707"/>
      <c r="R173" s="707"/>
      <c r="S173" s="707"/>
      <c r="T173" s="707"/>
      <c r="U173" s="707"/>
      <c r="V173" s="707"/>
      <c r="W173" s="707"/>
      <c r="X173" s="707"/>
      <c r="Y173" s="707"/>
      <c r="Z173" s="707"/>
      <c r="AA173" s="36" t="str">
        <f t="shared" si="162"/>
        <v/>
      </c>
      <c r="AB173" s="288" t="str">
        <f t="shared" si="134"/>
        <v/>
      </c>
      <c r="AC173" s="288" t="str">
        <f t="shared" si="135"/>
        <v/>
      </c>
      <c r="AD173" s="288" t="str">
        <f t="shared" si="136"/>
        <v/>
      </c>
      <c r="AE173" s="288" t="str">
        <f t="shared" si="137"/>
        <v/>
      </c>
      <c r="AF173" s="288" t="str">
        <f t="shared" si="138"/>
        <v/>
      </c>
      <c r="AG173" s="288" t="str">
        <f t="shared" si="139"/>
        <v/>
      </c>
      <c r="AH173" s="288" t="str">
        <f t="shared" si="140"/>
        <v/>
      </c>
      <c r="AI173" s="36">
        <f t="shared" si="141"/>
        <v>-1</v>
      </c>
      <c r="AJ173" s="36">
        <f t="shared" si="142"/>
        <v>-1</v>
      </c>
      <c r="AK173" s="36">
        <f t="shared" si="143"/>
        <v>-1</v>
      </c>
      <c r="AL173" s="36"/>
      <c r="AM173" s="36" t="str">
        <f t="shared" si="164"/>
        <v/>
      </c>
      <c r="AN173" s="288" t="str">
        <f t="shared" si="144"/>
        <v/>
      </c>
      <c r="AO173" s="288" t="str">
        <f t="shared" si="145"/>
        <v/>
      </c>
      <c r="AP173" s="288" t="str">
        <f t="shared" si="146"/>
        <v/>
      </c>
      <c r="AQ173" s="36">
        <f t="shared" ref="AQ173:AS173" si="207">AQ172</f>
        <v>3.3793103448275866E-2</v>
      </c>
      <c r="AR173" s="36">
        <f t="shared" si="207"/>
        <v>5.9329425287356324E-2</v>
      </c>
      <c r="AS173" s="36">
        <f t="shared" si="207"/>
        <v>8.4865747126436797E-2</v>
      </c>
      <c r="AT173" s="288">
        <f t="shared" si="148"/>
        <v>0.11040206896551726</v>
      </c>
    </row>
    <row r="174" spans="2:46">
      <c r="B174" s="287"/>
      <c r="C174" s="707"/>
      <c r="D174" s="707"/>
      <c r="E174" s="707"/>
      <c r="F174" s="707"/>
      <c r="G174" s="707"/>
      <c r="H174" s="707"/>
      <c r="I174" s="707"/>
      <c r="J174" s="707"/>
      <c r="K174" s="707"/>
      <c r="L174" s="707"/>
      <c r="M174" s="707"/>
      <c r="N174" s="707"/>
      <c r="O174" s="707"/>
      <c r="P174" s="707"/>
      <c r="Q174" s="707"/>
      <c r="R174" s="707"/>
      <c r="S174" s="707"/>
      <c r="T174" s="707"/>
      <c r="U174" s="707"/>
      <c r="V174" s="707"/>
      <c r="W174" s="707"/>
      <c r="X174" s="707"/>
      <c r="Y174" s="707"/>
      <c r="Z174" s="707"/>
      <c r="AA174" s="36" t="str">
        <f t="shared" si="162"/>
        <v/>
      </c>
      <c r="AB174" s="288" t="str">
        <f t="shared" si="134"/>
        <v/>
      </c>
      <c r="AC174" s="288" t="str">
        <f t="shared" si="135"/>
        <v/>
      </c>
      <c r="AD174" s="288" t="str">
        <f t="shared" si="136"/>
        <v/>
      </c>
      <c r="AE174" s="288" t="str">
        <f t="shared" si="137"/>
        <v/>
      </c>
      <c r="AF174" s="288" t="str">
        <f t="shared" si="138"/>
        <v/>
      </c>
      <c r="AG174" s="288" t="str">
        <f t="shared" si="139"/>
        <v/>
      </c>
      <c r="AH174" s="288" t="str">
        <f t="shared" si="140"/>
        <v/>
      </c>
      <c r="AI174" s="36">
        <f t="shared" si="141"/>
        <v>-1</v>
      </c>
      <c r="AJ174" s="36">
        <f t="shared" si="142"/>
        <v>-1</v>
      </c>
      <c r="AK174" s="36">
        <f t="shared" si="143"/>
        <v>-1</v>
      </c>
      <c r="AL174" s="36"/>
      <c r="AM174" s="36" t="str">
        <f t="shared" si="164"/>
        <v/>
      </c>
      <c r="AN174" s="288" t="str">
        <f t="shared" si="144"/>
        <v/>
      </c>
      <c r="AO174" s="288" t="str">
        <f t="shared" si="145"/>
        <v/>
      </c>
      <c r="AP174" s="288" t="str">
        <f t="shared" si="146"/>
        <v/>
      </c>
      <c r="AQ174" s="36">
        <f t="shared" ref="AQ174:AS174" si="208">AQ173</f>
        <v>3.3793103448275866E-2</v>
      </c>
      <c r="AR174" s="36">
        <f t="shared" si="208"/>
        <v>5.9329425287356324E-2</v>
      </c>
      <c r="AS174" s="36">
        <f t="shared" si="208"/>
        <v>8.4865747126436797E-2</v>
      </c>
      <c r="AT174" s="288">
        <f t="shared" si="148"/>
        <v>0.11040206896551726</v>
      </c>
    </row>
    <row r="175" spans="2:46">
      <c r="B175" s="287"/>
      <c r="C175" s="707"/>
      <c r="D175" s="707"/>
      <c r="E175" s="707"/>
      <c r="F175" s="707"/>
      <c r="G175" s="707"/>
      <c r="H175" s="707"/>
      <c r="I175" s="707"/>
      <c r="J175" s="707"/>
      <c r="K175" s="707"/>
      <c r="L175" s="707"/>
      <c r="M175" s="707"/>
      <c r="N175" s="707"/>
      <c r="O175" s="707"/>
      <c r="P175" s="707"/>
      <c r="Q175" s="707"/>
      <c r="R175" s="707"/>
      <c r="S175" s="707"/>
      <c r="T175" s="707"/>
      <c r="U175" s="707"/>
      <c r="V175" s="707"/>
      <c r="W175" s="707"/>
      <c r="X175" s="707"/>
      <c r="Y175" s="707"/>
      <c r="Z175" s="707"/>
      <c r="AA175" s="36" t="str">
        <f t="shared" si="162"/>
        <v/>
      </c>
      <c r="AB175" s="288" t="str">
        <f t="shared" si="134"/>
        <v/>
      </c>
      <c r="AC175" s="288" t="str">
        <f t="shared" si="135"/>
        <v/>
      </c>
      <c r="AD175" s="288" t="str">
        <f t="shared" si="136"/>
        <v/>
      </c>
      <c r="AE175" s="288" t="str">
        <f t="shared" si="137"/>
        <v/>
      </c>
      <c r="AF175" s="288" t="str">
        <f t="shared" si="138"/>
        <v/>
      </c>
      <c r="AG175" s="288" t="str">
        <f t="shared" si="139"/>
        <v/>
      </c>
      <c r="AH175" s="288" t="str">
        <f t="shared" si="140"/>
        <v/>
      </c>
      <c r="AI175" s="36">
        <f t="shared" si="141"/>
        <v>-1</v>
      </c>
      <c r="AJ175" s="36">
        <f t="shared" si="142"/>
        <v>-1</v>
      </c>
      <c r="AK175" s="36">
        <f t="shared" si="143"/>
        <v>-1</v>
      </c>
      <c r="AL175" s="36"/>
      <c r="AM175" s="36" t="str">
        <f t="shared" si="164"/>
        <v/>
      </c>
      <c r="AN175" s="288" t="str">
        <f t="shared" si="144"/>
        <v/>
      </c>
      <c r="AO175" s="288" t="str">
        <f t="shared" si="145"/>
        <v/>
      </c>
      <c r="AP175" s="288" t="str">
        <f t="shared" si="146"/>
        <v/>
      </c>
      <c r="AQ175" s="36">
        <f t="shared" ref="AQ175:AS175" si="209">AQ174</f>
        <v>3.3793103448275866E-2</v>
      </c>
      <c r="AR175" s="36">
        <f t="shared" si="209"/>
        <v>5.9329425287356324E-2</v>
      </c>
      <c r="AS175" s="36">
        <f t="shared" si="209"/>
        <v>8.4865747126436797E-2</v>
      </c>
      <c r="AT175" s="288">
        <f t="shared" si="148"/>
        <v>0.11040206896551726</v>
      </c>
    </row>
    <row r="176" spans="2:46">
      <c r="B176" s="287"/>
      <c r="C176" s="707"/>
      <c r="D176" s="707"/>
      <c r="E176" s="707"/>
      <c r="F176" s="707"/>
      <c r="G176" s="707"/>
      <c r="H176" s="707"/>
      <c r="I176" s="707"/>
      <c r="J176" s="707"/>
      <c r="K176" s="707"/>
      <c r="L176" s="707"/>
      <c r="M176" s="707"/>
      <c r="N176" s="707"/>
      <c r="O176" s="707"/>
      <c r="P176" s="707"/>
      <c r="Q176" s="707"/>
      <c r="R176" s="707"/>
      <c r="S176" s="707"/>
      <c r="T176" s="707"/>
      <c r="U176" s="707"/>
      <c r="V176" s="707"/>
      <c r="W176" s="707"/>
      <c r="X176" s="707"/>
      <c r="Y176" s="707"/>
      <c r="Z176" s="707"/>
      <c r="AA176" s="36" t="str">
        <f t="shared" si="162"/>
        <v/>
      </c>
      <c r="AB176" s="288" t="str">
        <f t="shared" si="134"/>
        <v/>
      </c>
      <c r="AC176" s="288" t="str">
        <f t="shared" si="135"/>
        <v/>
      </c>
      <c r="AD176" s="288" t="str">
        <f t="shared" si="136"/>
        <v/>
      </c>
      <c r="AE176" s="288" t="str">
        <f t="shared" si="137"/>
        <v/>
      </c>
      <c r="AF176" s="288" t="str">
        <f t="shared" si="138"/>
        <v/>
      </c>
      <c r="AG176" s="288" t="str">
        <f t="shared" si="139"/>
        <v/>
      </c>
      <c r="AH176" s="288" t="str">
        <f t="shared" si="140"/>
        <v/>
      </c>
      <c r="AI176" s="36">
        <f t="shared" si="141"/>
        <v>-1</v>
      </c>
      <c r="AJ176" s="36">
        <f t="shared" si="142"/>
        <v>-1</v>
      </c>
      <c r="AK176" s="36">
        <f t="shared" si="143"/>
        <v>-1</v>
      </c>
      <c r="AL176" s="36"/>
      <c r="AM176" s="36" t="str">
        <f t="shared" si="164"/>
        <v/>
      </c>
      <c r="AN176" s="288" t="str">
        <f t="shared" si="144"/>
        <v/>
      </c>
      <c r="AO176" s="288" t="str">
        <f t="shared" si="145"/>
        <v/>
      </c>
      <c r="AP176" s="288" t="str">
        <f t="shared" si="146"/>
        <v/>
      </c>
      <c r="AQ176" s="36">
        <f t="shared" ref="AQ176:AS176" si="210">AQ175</f>
        <v>3.3793103448275866E-2</v>
      </c>
      <c r="AR176" s="36">
        <f t="shared" si="210"/>
        <v>5.9329425287356324E-2</v>
      </c>
      <c r="AS176" s="36">
        <f t="shared" si="210"/>
        <v>8.4865747126436797E-2</v>
      </c>
      <c r="AT176" s="288">
        <f t="shared" si="148"/>
        <v>0.11040206896551726</v>
      </c>
    </row>
    <row r="177" spans="2:46">
      <c r="B177" s="287"/>
      <c r="C177" s="707"/>
      <c r="D177" s="707"/>
      <c r="E177" s="707"/>
      <c r="F177" s="707"/>
      <c r="G177" s="707"/>
      <c r="H177" s="707"/>
      <c r="I177" s="707"/>
      <c r="J177" s="707"/>
      <c r="K177" s="707"/>
      <c r="L177" s="707"/>
      <c r="M177" s="707"/>
      <c r="N177" s="707"/>
      <c r="O177" s="707"/>
      <c r="P177" s="707"/>
      <c r="Q177" s="707"/>
      <c r="R177" s="707"/>
      <c r="S177" s="707"/>
      <c r="T177" s="707"/>
      <c r="U177" s="707"/>
      <c r="V177" s="707"/>
      <c r="W177" s="707"/>
      <c r="X177" s="707"/>
      <c r="Y177" s="707"/>
      <c r="Z177" s="707"/>
      <c r="AA177" s="36" t="str">
        <f t="shared" si="162"/>
        <v/>
      </c>
      <c r="AB177" s="288" t="str">
        <f t="shared" si="134"/>
        <v/>
      </c>
      <c r="AC177" s="288" t="str">
        <f t="shared" si="135"/>
        <v/>
      </c>
      <c r="AD177" s="288" t="str">
        <f t="shared" si="136"/>
        <v/>
      </c>
      <c r="AE177" s="288" t="str">
        <f t="shared" si="137"/>
        <v/>
      </c>
      <c r="AF177" s="288" t="str">
        <f t="shared" si="138"/>
        <v/>
      </c>
      <c r="AG177" s="288" t="str">
        <f t="shared" si="139"/>
        <v/>
      </c>
      <c r="AH177" s="288" t="str">
        <f t="shared" si="140"/>
        <v/>
      </c>
      <c r="AI177" s="36">
        <f t="shared" si="141"/>
        <v>-1</v>
      </c>
      <c r="AJ177" s="36">
        <f t="shared" si="142"/>
        <v>-1</v>
      </c>
      <c r="AK177" s="36">
        <f t="shared" si="143"/>
        <v>-1</v>
      </c>
      <c r="AL177" s="36"/>
      <c r="AM177" s="36" t="str">
        <f t="shared" si="164"/>
        <v/>
      </c>
      <c r="AN177" s="288" t="str">
        <f t="shared" si="144"/>
        <v/>
      </c>
      <c r="AO177" s="288" t="str">
        <f t="shared" si="145"/>
        <v/>
      </c>
      <c r="AP177" s="288" t="str">
        <f t="shared" si="146"/>
        <v/>
      </c>
      <c r="AQ177" s="36">
        <f t="shared" ref="AQ177:AS177" si="211">AQ176</f>
        <v>3.3793103448275866E-2</v>
      </c>
      <c r="AR177" s="36">
        <f t="shared" si="211"/>
        <v>5.9329425287356324E-2</v>
      </c>
      <c r="AS177" s="36">
        <f t="shared" si="211"/>
        <v>8.4865747126436797E-2</v>
      </c>
      <c r="AT177" s="288">
        <f t="shared" si="148"/>
        <v>0.11040206896551726</v>
      </c>
    </row>
    <row r="178" spans="2:46">
      <c r="B178" s="287"/>
      <c r="C178" s="707"/>
      <c r="D178" s="707"/>
      <c r="E178" s="707"/>
      <c r="F178" s="707"/>
      <c r="G178" s="707"/>
      <c r="H178" s="707"/>
      <c r="I178" s="707"/>
      <c r="J178" s="707"/>
      <c r="K178" s="707"/>
      <c r="L178" s="707"/>
      <c r="M178" s="707"/>
      <c r="N178" s="707"/>
      <c r="O178" s="707"/>
      <c r="P178" s="707"/>
      <c r="Q178" s="707"/>
      <c r="R178" s="707"/>
      <c r="S178" s="707"/>
      <c r="T178" s="707"/>
      <c r="U178" s="707"/>
      <c r="V178" s="707"/>
      <c r="W178" s="707"/>
      <c r="X178" s="707"/>
      <c r="Y178" s="707"/>
      <c r="Z178" s="707"/>
      <c r="AA178" s="36" t="str">
        <f t="shared" si="162"/>
        <v/>
      </c>
      <c r="AB178" s="288" t="str">
        <f t="shared" si="134"/>
        <v/>
      </c>
      <c r="AC178" s="288" t="str">
        <f t="shared" si="135"/>
        <v/>
      </c>
      <c r="AD178" s="288" t="str">
        <f t="shared" si="136"/>
        <v/>
      </c>
      <c r="AE178" s="288" t="str">
        <f t="shared" si="137"/>
        <v/>
      </c>
      <c r="AF178" s="288" t="str">
        <f t="shared" si="138"/>
        <v/>
      </c>
      <c r="AG178" s="288" t="str">
        <f t="shared" si="139"/>
        <v/>
      </c>
      <c r="AH178" s="288" t="str">
        <f t="shared" si="140"/>
        <v/>
      </c>
      <c r="AI178" s="36">
        <f t="shared" si="141"/>
        <v>-1</v>
      </c>
      <c r="AJ178" s="36">
        <f t="shared" si="142"/>
        <v>-1</v>
      </c>
      <c r="AK178" s="36">
        <f t="shared" si="143"/>
        <v>-1</v>
      </c>
      <c r="AL178" s="36"/>
      <c r="AM178" s="36" t="str">
        <f t="shared" si="164"/>
        <v/>
      </c>
      <c r="AN178" s="288" t="str">
        <f t="shared" si="144"/>
        <v/>
      </c>
      <c r="AO178" s="288" t="str">
        <f t="shared" si="145"/>
        <v/>
      </c>
      <c r="AP178" s="288" t="str">
        <f t="shared" si="146"/>
        <v/>
      </c>
      <c r="AQ178" s="36">
        <f t="shared" ref="AQ178:AS178" si="212">AQ177</f>
        <v>3.3793103448275866E-2</v>
      </c>
      <c r="AR178" s="36">
        <f t="shared" si="212"/>
        <v>5.9329425287356324E-2</v>
      </c>
      <c r="AS178" s="36">
        <f t="shared" si="212"/>
        <v>8.4865747126436797E-2</v>
      </c>
      <c r="AT178" s="288">
        <f t="shared" si="148"/>
        <v>0.11040206896551726</v>
      </c>
    </row>
    <row r="179" spans="2:46">
      <c r="B179" s="287"/>
      <c r="C179" s="707"/>
      <c r="D179" s="707"/>
      <c r="E179" s="707"/>
      <c r="F179" s="707"/>
      <c r="G179" s="707"/>
      <c r="H179" s="707"/>
      <c r="I179" s="707"/>
      <c r="J179" s="707"/>
      <c r="K179" s="707"/>
      <c r="L179" s="707"/>
      <c r="M179" s="707"/>
      <c r="N179" s="707"/>
      <c r="O179" s="707"/>
      <c r="P179" s="707"/>
      <c r="Q179" s="707"/>
      <c r="R179" s="707"/>
      <c r="S179" s="707"/>
      <c r="T179" s="707"/>
      <c r="U179" s="707"/>
      <c r="V179" s="707"/>
      <c r="W179" s="707"/>
      <c r="X179" s="707"/>
      <c r="Y179" s="707"/>
      <c r="Z179" s="707"/>
      <c r="AA179" s="36" t="str">
        <f t="shared" si="162"/>
        <v/>
      </c>
      <c r="AB179" s="288" t="str">
        <f t="shared" si="134"/>
        <v/>
      </c>
      <c r="AC179" s="288" t="str">
        <f t="shared" si="135"/>
        <v/>
      </c>
      <c r="AD179" s="288" t="str">
        <f t="shared" si="136"/>
        <v/>
      </c>
      <c r="AE179" s="288" t="str">
        <f t="shared" si="137"/>
        <v/>
      </c>
      <c r="AF179" s="288" t="str">
        <f t="shared" si="138"/>
        <v/>
      </c>
      <c r="AG179" s="288" t="str">
        <f t="shared" si="139"/>
        <v/>
      </c>
      <c r="AH179" s="288" t="str">
        <f t="shared" si="140"/>
        <v/>
      </c>
      <c r="AI179" s="36">
        <f t="shared" si="141"/>
        <v>-1</v>
      </c>
      <c r="AJ179" s="36">
        <f t="shared" si="142"/>
        <v>-1</v>
      </c>
      <c r="AK179" s="36">
        <f t="shared" si="143"/>
        <v>-1</v>
      </c>
      <c r="AL179" s="36"/>
      <c r="AM179" s="36" t="str">
        <f t="shared" si="164"/>
        <v/>
      </c>
      <c r="AN179" s="288" t="str">
        <f t="shared" si="144"/>
        <v/>
      </c>
      <c r="AO179" s="288" t="str">
        <f t="shared" si="145"/>
        <v/>
      </c>
      <c r="AP179" s="288" t="str">
        <f t="shared" si="146"/>
        <v/>
      </c>
      <c r="AQ179" s="36">
        <f t="shared" ref="AQ179:AS179" si="213">AQ178</f>
        <v>3.3793103448275866E-2</v>
      </c>
      <c r="AR179" s="36">
        <f t="shared" si="213"/>
        <v>5.9329425287356324E-2</v>
      </c>
      <c r="AS179" s="36">
        <f t="shared" si="213"/>
        <v>8.4865747126436797E-2</v>
      </c>
      <c r="AT179" s="288">
        <f t="shared" si="148"/>
        <v>0.11040206896551726</v>
      </c>
    </row>
    <row r="180" spans="2:46">
      <c r="B180" s="287"/>
      <c r="C180" s="707"/>
      <c r="D180" s="707"/>
      <c r="E180" s="707"/>
      <c r="F180" s="707"/>
      <c r="G180" s="707"/>
      <c r="H180" s="707"/>
      <c r="I180" s="707"/>
      <c r="J180" s="707"/>
      <c r="K180" s="707"/>
      <c r="L180" s="707"/>
      <c r="M180" s="707"/>
      <c r="N180" s="707"/>
      <c r="O180" s="707"/>
      <c r="P180" s="707"/>
      <c r="Q180" s="707"/>
      <c r="R180" s="707"/>
      <c r="S180" s="707"/>
      <c r="T180" s="707"/>
      <c r="U180" s="707"/>
      <c r="V180" s="707"/>
      <c r="W180" s="707"/>
      <c r="X180" s="707"/>
      <c r="Y180" s="707"/>
      <c r="Z180" s="707"/>
      <c r="AA180" s="36" t="str">
        <f t="shared" si="162"/>
        <v/>
      </c>
      <c r="AB180" s="288" t="str">
        <f t="shared" ref="AB180:AB243" si="214">IF(AA180="", "", AE180-(3*STDEV(AA:AA)))</f>
        <v/>
      </c>
      <c r="AC180" s="288" t="str">
        <f t="shared" ref="AC180:AC243" si="215">IF(AA180="", "",AE180-(2*STDEV(AA:AA)))</f>
        <v/>
      </c>
      <c r="AD180" s="288" t="str">
        <f t="shared" ref="AD180:AD243" si="216">IF(AA180="", "", AE180-STDEV(AA:AA))</f>
        <v/>
      </c>
      <c r="AE180" s="288" t="str">
        <f t="shared" ref="AE180:AE243" si="217">IF(AA180="", "", AVERAGE(AA:AA))</f>
        <v/>
      </c>
      <c r="AF180" s="288" t="str">
        <f t="shared" ref="AF180:AF243" si="218">IF(AC180="", "", AE180+STDEV(AA:AA))</f>
        <v/>
      </c>
      <c r="AG180" s="288" t="str">
        <f t="shared" ref="AG180:AG243" si="219">IF(AE180="", "",AE180+(2*STDEV(AA:AA)))</f>
        <v/>
      </c>
      <c r="AH180" s="288" t="str">
        <f t="shared" ref="AH180:AH243" si="220">IF(AG180="", "", AE180+(3*STDEV(AA:AA)))</f>
        <v/>
      </c>
      <c r="AI180" s="36">
        <f t="shared" ref="AI180:AI243" si="221">IF(OR(AA180&gt;AH180,AA180&lt;AB180),AA180,-1)</f>
        <v>-1</v>
      </c>
      <c r="AJ180" s="36">
        <f t="shared" ref="AJ180:AJ243" si="222">IF(IF(AA179&gt;AG179,1,0)+IF(AA180&gt;AG180,1,0)+IF(AA181&gt;AG181,1,0)+IF(AA179&lt;AC179,1,0)+IF(AA180&lt;AC180,1,0)+IF(AA181&lt;AC181,1,0)&gt;=2,AA180,-1)</f>
        <v>-1</v>
      </c>
      <c r="AK180" s="36">
        <f t="shared" ref="AK180:AK243" si="223">IF(IF(AA178&lt;AD178,1,0)+IF(AA180&lt;AD180,1,0)+IF(AA181&lt;AD181,1,0)+IF(AA182&lt;AD182,1,0)+IF(AA179&lt;AD179,1,0)+IF(AA178&gt;AF178,1,0)+IF(AA179&gt;AF179,1,0)+IF(AA180&gt;AF180,1,0)+IF(AA181&gt;AF181,1,0)+IF(AA182&gt;AF182,1,0)&gt;4,AA180,-1)</f>
        <v>-1</v>
      </c>
      <c r="AL180" s="36"/>
      <c r="AM180" s="36" t="str">
        <f t="shared" si="164"/>
        <v/>
      </c>
      <c r="AN180" s="288" t="str">
        <f t="shared" ref="AN180:AN243" si="224">IF(AM180="", "", AQ180-(3*STDEV(AM:AM)))</f>
        <v/>
      </c>
      <c r="AO180" s="288" t="str">
        <f t="shared" ref="AO180:AO243" si="225">IF(AM180="", "", IF($AQ180-(2*(($AT180-$AQ180)/3))&lt;0, 0, $AQ180-(2*(($AT180-$AQ180)/3))))</f>
        <v/>
      </c>
      <c r="AP180" s="288" t="str">
        <f t="shared" ref="AP180:AP243" si="226">IF(AM180="", "", IF($AQ180-(($AT180-$AQ180)/3)&lt;0, 0, $AQ179-(($AT179-$AQ179)/3)))</f>
        <v/>
      </c>
      <c r="AQ180" s="36">
        <f t="shared" ref="AQ180:AS180" si="227">AQ179</f>
        <v>3.3793103448275866E-2</v>
      </c>
      <c r="AR180" s="36">
        <f t="shared" si="227"/>
        <v>5.9329425287356324E-2</v>
      </c>
      <c r="AS180" s="36">
        <f t="shared" si="227"/>
        <v>8.4865747126436797E-2</v>
      </c>
      <c r="AT180" s="288">
        <f t="shared" ref="AT180:AT243" si="228">$BM$3*AQ180</f>
        <v>0.11040206896551726</v>
      </c>
    </row>
    <row r="181" spans="2:46">
      <c r="B181" s="287"/>
      <c r="C181" s="707"/>
      <c r="D181" s="707"/>
      <c r="E181" s="707"/>
      <c r="F181" s="707"/>
      <c r="G181" s="707"/>
      <c r="H181" s="707"/>
      <c r="I181" s="707"/>
      <c r="J181" s="707"/>
      <c r="K181" s="707"/>
      <c r="L181" s="707"/>
      <c r="M181" s="707"/>
      <c r="N181" s="707"/>
      <c r="O181" s="707"/>
      <c r="P181" s="707"/>
      <c r="Q181" s="707"/>
      <c r="R181" s="707"/>
      <c r="S181" s="707"/>
      <c r="T181" s="707"/>
      <c r="U181" s="707"/>
      <c r="V181" s="707"/>
      <c r="W181" s="707"/>
      <c r="X181" s="707"/>
      <c r="Y181" s="707"/>
      <c r="Z181" s="707"/>
      <c r="AA181" s="36" t="str">
        <f t="shared" si="162"/>
        <v/>
      </c>
      <c r="AB181" s="288" t="str">
        <f t="shared" si="214"/>
        <v/>
      </c>
      <c r="AC181" s="288" t="str">
        <f t="shared" si="215"/>
        <v/>
      </c>
      <c r="AD181" s="288" t="str">
        <f t="shared" si="216"/>
        <v/>
      </c>
      <c r="AE181" s="288" t="str">
        <f t="shared" si="217"/>
        <v/>
      </c>
      <c r="AF181" s="288" t="str">
        <f t="shared" si="218"/>
        <v/>
      </c>
      <c r="AG181" s="288" t="str">
        <f t="shared" si="219"/>
        <v/>
      </c>
      <c r="AH181" s="288" t="str">
        <f t="shared" si="220"/>
        <v/>
      </c>
      <c r="AI181" s="36">
        <f t="shared" si="221"/>
        <v>-1</v>
      </c>
      <c r="AJ181" s="36">
        <f t="shared" si="222"/>
        <v>-1</v>
      </c>
      <c r="AK181" s="36">
        <f t="shared" si="223"/>
        <v>-1</v>
      </c>
      <c r="AL181" s="36"/>
      <c r="AM181" s="36" t="str">
        <f t="shared" si="164"/>
        <v/>
      </c>
      <c r="AN181" s="288" t="str">
        <f t="shared" si="224"/>
        <v/>
      </c>
      <c r="AO181" s="288" t="str">
        <f t="shared" si="225"/>
        <v/>
      </c>
      <c r="AP181" s="288" t="str">
        <f t="shared" si="226"/>
        <v/>
      </c>
      <c r="AQ181" s="36">
        <f t="shared" ref="AQ181:AS181" si="229">AQ180</f>
        <v>3.3793103448275866E-2</v>
      </c>
      <c r="AR181" s="36">
        <f t="shared" si="229"/>
        <v>5.9329425287356324E-2</v>
      </c>
      <c r="AS181" s="36">
        <f t="shared" si="229"/>
        <v>8.4865747126436797E-2</v>
      </c>
      <c r="AT181" s="288">
        <f t="shared" si="228"/>
        <v>0.11040206896551726</v>
      </c>
    </row>
    <row r="182" spans="2:46">
      <c r="B182" s="287"/>
      <c r="C182" s="707"/>
      <c r="D182" s="707"/>
      <c r="E182" s="707"/>
      <c r="F182" s="707"/>
      <c r="G182" s="707"/>
      <c r="H182" s="707"/>
      <c r="I182" s="707"/>
      <c r="J182" s="707"/>
      <c r="K182" s="707"/>
      <c r="L182" s="707"/>
      <c r="M182" s="707"/>
      <c r="N182" s="707"/>
      <c r="O182" s="707"/>
      <c r="P182" s="707"/>
      <c r="Q182" s="707"/>
      <c r="R182" s="707"/>
      <c r="S182" s="707"/>
      <c r="T182" s="707"/>
      <c r="U182" s="707"/>
      <c r="V182" s="707"/>
      <c r="W182" s="707"/>
      <c r="X182" s="707"/>
      <c r="Y182" s="707"/>
      <c r="Z182" s="707"/>
      <c r="AA182" s="36" t="str">
        <f t="shared" si="162"/>
        <v/>
      </c>
      <c r="AB182" s="288" t="str">
        <f t="shared" si="214"/>
        <v/>
      </c>
      <c r="AC182" s="288" t="str">
        <f t="shared" si="215"/>
        <v/>
      </c>
      <c r="AD182" s="288" t="str">
        <f t="shared" si="216"/>
        <v/>
      </c>
      <c r="AE182" s="288" t="str">
        <f t="shared" si="217"/>
        <v/>
      </c>
      <c r="AF182" s="288" t="str">
        <f t="shared" si="218"/>
        <v/>
      </c>
      <c r="AG182" s="288" t="str">
        <f t="shared" si="219"/>
        <v/>
      </c>
      <c r="AH182" s="288" t="str">
        <f t="shared" si="220"/>
        <v/>
      </c>
      <c r="AI182" s="36">
        <f t="shared" si="221"/>
        <v>-1</v>
      </c>
      <c r="AJ182" s="36">
        <f t="shared" si="222"/>
        <v>-1</v>
      </c>
      <c r="AK182" s="36">
        <f t="shared" si="223"/>
        <v>-1</v>
      </c>
      <c r="AL182" s="36"/>
      <c r="AM182" s="36" t="str">
        <f t="shared" si="164"/>
        <v/>
      </c>
      <c r="AN182" s="288" t="str">
        <f t="shared" si="224"/>
        <v/>
      </c>
      <c r="AO182" s="288" t="str">
        <f t="shared" si="225"/>
        <v/>
      </c>
      <c r="AP182" s="288" t="str">
        <f t="shared" si="226"/>
        <v/>
      </c>
      <c r="AQ182" s="36">
        <f t="shared" ref="AQ182:AS182" si="230">AQ181</f>
        <v>3.3793103448275866E-2</v>
      </c>
      <c r="AR182" s="36">
        <f t="shared" si="230"/>
        <v>5.9329425287356324E-2</v>
      </c>
      <c r="AS182" s="36">
        <f t="shared" si="230"/>
        <v>8.4865747126436797E-2</v>
      </c>
      <c r="AT182" s="288">
        <f t="shared" si="228"/>
        <v>0.11040206896551726</v>
      </c>
    </row>
    <row r="183" spans="2:46">
      <c r="B183" s="287"/>
      <c r="C183" s="707"/>
      <c r="D183" s="707"/>
      <c r="E183" s="707"/>
      <c r="F183" s="707"/>
      <c r="G183" s="707"/>
      <c r="H183" s="707"/>
      <c r="I183" s="707"/>
      <c r="J183" s="707"/>
      <c r="K183" s="707"/>
      <c r="L183" s="707"/>
      <c r="M183" s="707"/>
      <c r="N183" s="707"/>
      <c r="O183" s="707"/>
      <c r="P183" s="707"/>
      <c r="Q183" s="707"/>
      <c r="R183" s="707"/>
      <c r="S183" s="707"/>
      <c r="T183" s="707"/>
      <c r="U183" s="707"/>
      <c r="V183" s="707"/>
      <c r="W183" s="707"/>
      <c r="X183" s="707"/>
      <c r="Y183" s="707"/>
      <c r="Z183" s="707"/>
      <c r="AA183" s="36" t="str">
        <f t="shared" si="162"/>
        <v/>
      </c>
      <c r="AB183" s="288" t="str">
        <f t="shared" si="214"/>
        <v/>
      </c>
      <c r="AC183" s="288" t="str">
        <f t="shared" si="215"/>
        <v/>
      </c>
      <c r="AD183" s="288" t="str">
        <f t="shared" si="216"/>
        <v/>
      </c>
      <c r="AE183" s="288" t="str">
        <f t="shared" si="217"/>
        <v/>
      </c>
      <c r="AF183" s="288" t="str">
        <f t="shared" si="218"/>
        <v/>
      </c>
      <c r="AG183" s="288" t="str">
        <f t="shared" si="219"/>
        <v/>
      </c>
      <c r="AH183" s="288" t="str">
        <f t="shared" si="220"/>
        <v/>
      </c>
      <c r="AI183" s="36">
        <f t="shared" si="221"/>
        <v>-1</v>
      </c>
      <c r="AJ183" s="36">
        <f t="shared" si="222"/>
        <v>-1</v>
      </c>
      <c r="AK183" s="36">
        <f t="shared" si="223"/>
        <v>-1</v>
      </c>
      <c r="AL183" s="36"/>
      <c r="AM183" s="36" t="str">
        <f t="shared" si="164"/>
        <v/>
      </c>
      <c r="AN183" s="288" t="str">
        <f t="shared" si="224"/>
        <v/>
      </c>
      <c r="AO183" s="288" t="str">
        <f t="shared" si="225"/>
        <v/>
      </c>
      <c r="AP183" s="288" t="str">
        <f t="shared" si="226"/>
        <v/>
      </c>
      <c r="AQ183" s="36">
        <f t="shared" ref="AQ183:AS183" si="231">AQ182</f>
        <v>3.3793103448275866E-2</v>
      </c>
      <c r="AR183" s="36">
        <f t="shared" si="231"/>
        <v>5.9329425287356324E-2</v>
      </c>
      <c r="AS183" s="36">
        <f t="shared" si="231"/>
        <v>8.4865747126436797E-2</v>
      </c>
      <c r="AT183" s="288">
        <f t="shared" si="228"/>
        <v>0.11040206896551726</v>
      </c>
    </row>
    <row r="184" spans="2:46">
      <c r="B184" s="287"/>
      <c r="C184" s="707"/>
      <c r="D184" s="707"/>
      <c r="E184" s="707"/>
      <c r="F184" s="707"/>
      <c r="G184" s="707"/>
      <c r="H184" s="707"/>
      <c r="I184" s="707"/>
      <c r="J184" s="707"/>
      <c r="K184" s="707"/>
      <c r="L184" s="707"/>
      <c r="M184" s="707"/>
      <c r="N184" s="707"/>
      <c r="O184" s="707"/>
      <c r="P184" s="707"/>
      <c r="Q184" s="707"/>
      <c r="R184" s="707"/>
      <c r="S184" s="707"/>
      <c r="T184" s="707"/>
      <c r="U184" s="707"/>
      <c r="V184" s="707"/>
      <c r="W184" s="707"/>
      <c r="X184" s="707"/>
      <c r="Y184" s="707"/>
      <c r="Z184" s="707"/>
      <c r="AA184" s="36" t="str">
        <f t="shared" si="162"/>
        <v/>
      </c>
      <c r="AB184" s="288" t="str">
        <f t="shared" si="214"/>
        <v/>
      </c>
      <c r="AC184" s="288" t="str">
        <f t="shared" si="215"/>
        <v/>
      </c>
      <c r="AD184" s="288" t="str">
        <f t="shared" si="216"/>
        <v/>
      </c>
      <c r="AE184" s="288" t="str">
        <f t="shared" si="217"/>
        <v/>
      </c>
      <c r="AF184" s="288" t="str">
        <f t="shared" si="218"/>
        <v/>
      </c>
      <c r="AG184" s="288" t="str">
        <f t="shared" si="219"/>
        <v/>
      </c>
      <c r="AH184" s="288" t="str">
        <f t="shared" si="220"/>
        <v/>
      </c>
      <c r="AI184" s="36">
        <f t="shared" si="221"/>
        <v>-1</v>
      </c>
      <c r="AJ184" s="36">
        <f t="shared" si="222"/>
        <v>-1</v>
      </c>
      <c r="AK184" s="36">
        <f t="shared" si="223"/>
        <v>-1</v>
      </c>
      <c r="AL184" s="36"/>
      <c r="AM184" s="36" t="str">
        <f t="shared" si="164"/>
        <v/>
      </c>
      <c r="AN184" s="288" t="str">
        <f t="shared" si="224"/>
        <v/>
      </c>
      <c r="AO184" s="288" t="str">
        <f t="shared" si="225"/>
        <v/>
      </c>
      <c r="AP184" s="288" t="str">
        <f t="shared" si="226"/>
        <v/>
      </c>
      <c r="AQ184" s="36">
        <f t="shared" ref="AQ184:AS184" si="232">AQ183</f>
        <v>3.3793103448275866E-2</v>
      </c>
      <c r="AR184" s="36">
        <f t="shared" si="232"/>
        <v>5.9329425287356324E-2</v>
      </c>
      <c r="AS184" s="36">
        <f t="shared" si="232"/>
        <v>8.4865747126436797E-2</v>
      </c>
      <c r="AT184" s="288">
        <f t="shared" si="228"/>
        <v>0.11040206896551726</v>
      </c>
    </row>
    <row r="185" spans="2:46">
      <c r="B185" s="287"/>
      <c r="C185" s="707"/>
      <c r="D185" s="707"/>
      <c r="E185" s="707"/>
      <c r="F185" s="707"/>
      <c r="G185" s="707"/>
      <c r="H185" s="707"/>
      <c r="I185" s="707"/>
      <c r="J185" s="707"/>
      <c r="K185" s="707"/>
      <c r="L185" s="707"/>
      <c r="M185" s="707"/>
      <c r="N185" s="707"/>
      <c r="O185" s="707"/>
      <c r="P185" s="707"/>
      <c r="Q185" s="707"/>
      <c r="R185" s="707"/>
      <c r="S185" s="707"/>
      <c r="T185" s="707"/>
      <c r="U185" s="707"/>
      <c r="V185" s="707"/>
      <c r="W185" s="707"/>
      <c r="X185" s="707"/>
      <c r="Y185" s="707"/>
      <c r="Z185" s="707"/>
      <c r="AA185" s="36" t="str">
        <f t="shared" si="162"/>
        <v/>
      </c>
      <c r="AB185" s="288" t="str">
        <f t="shared" si="214"/>
        <v/>
      </c>
      <c r="AC185" s="288" t="str">
        <f t="shared" si="215"/>
        <v/>
      </c>
      <c r="AD185" s="288" t="str">
        <f t="shared" si="216"/>
        <v/>
      </c>
      <c r="AE185" s="288" t="str">
        <f t="shared" si="217"/>
        <v/>
      </c>
      <c r="AF185" s="288" t="str">
        <f t="shared" si="218"/>
        <v/>
      </c>
      <c r="AG185" s="288" t="str">
        <f t="shared" si="219"/>
        <v/>
      </c>
      <c r="AH185" s="288" t="str">
        <f t="shared" si="220"/>
        <v/>
      </c>
      <c r="AI185" s="36">
        <f t="shared" si="221"/>
        <v>-1</v>
      </c>
      <c r="AJ185" s="36">
        <f t="shared" si="222"/>
        <v>-1</v>
      </c>
      <c r="AK185" s="36">
        <f t="shared" si="223"/>
        <v>-1</v>
      </c>
      <c r="AL185" s="36"/>
      <c r="AM185" s="36" t="str">
        <f t="shared" si="164"/>
        <v/>
      </c>
      <c r="AN185" s="288" t="str">
        <f t="shared" si="224"/>
        <v/>
      </c>
      <c r="AO185" s="288" t="str">
        <f t="shared" si="225"/>
        <v/>
      </c>
      <c r="AP185" s="288" t="str">
        <f t="shared" si="226"/>
        <v/>
      </c>
      <c r="AQ185" s="36">
        <f t="shared" ref="AQ185:AS185" si="233">AQ184</f>
        <v>3.3793103448275866E-2</v>
      </c>
      <c r="AR185" s="36">
        <f t="shared" si="233"/>
        <v>5.9329425287356324E-2</v>
      </c>
      <c r="AS185" s="36">
        <f t="shared" si="233"/>
        <v>8.4865747126436797E-2</v>
      </c>
      <c r="AT185" s="288">
        <f t="shared" si="228"/>
        <v>0.11040206896551726</v>
      </c>
    </row>
    <row r="186" spans="2:46">
      <c r="B186" s="287"/>
      <c r="C186" s="707"/>
      <c r="D186" s="707"/>
      <c r="E186" s="707"/>
      <c r="F186" s="707"/>
      <c r="G186" s="707"/>
      <c r="H186" s="707"/>
      <c r="I186" s="707"/>
      <c r="J186" s="707"/>
      <c r="K186" s="707"/>
      <c r="L186" s="707"/>
      <c r="M186" s="707"/>
      <c r="N186" s="707"/>
      <c r="O186" s="707"/>
      <c r="P186" s="707"/>
      <c r="Q186" s="707"/>
      <c r="R186" s="707"/>
      <c r="S186" s="707"/>
      <c r="T186" s="707"/>
      <c r="U186" s="707"/>
      <c r="V186" s="707"/>
      <c r="W186" s="707"/>
      <c r="X186" s="707"/>
      <c r="Y186" s="707"/>
      <c r="Z186" s="707"/>
      <c r="AA186" s="36" t="str">
        <f t="shared" si="162"/>
        <v/>
      </c>
      <c r="AB186" s="288" t="str">
        <f t="shared" si="214"/>
        <v/>
      </c>
      <c r="AC186" s="288" t="str">
        <f t="shared" si="215"/>
        <v/>
      </c>
      <c r="AD186" s="288" t="str">
        <f t="shared" si="216"/>
        <v/>
      </c>
      <c r="AE186" s="288" t="str">
        <f t="shared" si="217"/>
        <v/>
      </c>
      <c r="AF186" s="288" t="str">
        <f t="shared" si="218"/>
        <v/>
      </c>
      <c r="AG186" s="288" t="str">
        <f t="shared" si="219"/>
        <v/>
      </c>
      <c r="AH186" s="288" t="str">
        <f t="shared" si="220"/>
        <v/>
      </c>
      <c r="AI186" s="36">
        <f t="shared" si="221"/>
        <v>-1</v>
      </c>
      <c r="AJ186" s="36">
        <f t="shared" si="222"/>
        <v>-1</v>
      </c>
      <c r="AK186" s="36">
        <f t="shared" si="223"/>
        <v>-1</v>
      </c>
      <c r="AL186" s="36"/>
      <c r="AM186" s="36" t="str">
        <f t="shared" si="164"/>
        <v/>
      </c>
      <c r="AN186" s="288" t="str">
        <f t="shared" si="224"/>
        <v/>
      </c>
      <c r="AO186" s="288" t="str">
        <f t="shared" si="225"/>
        <v/>
      </c>
      <c r="AP186" s="288" t="str">
        <f t="shared" si="226"/>
        <v/>
      </c>
      <c r="AQ186" s="36">
        <f t="shared" ref="AQ186:AS186" si="234">AQ185</f>
        <v>3.3793103448275866E-2</v>
      </c>
      <c r="AR186" s="36">
        <f t="shared" si="234"/>
        <v>5.9329425287356324E-2</v>
      </c>
      <c r="AS186" s="36">
        <f t="shared" si="234"/>
        <v>8.4865747126436797E-2</v>
      </c>
      <c r="AT186" s="288">
        <f t="shared" si="228"/>
        <v>0.11040206896551726</v>
      </c>
    </row>
    <row r="187" spans="2:46">
      <c r="B187" s="287"/>
      <c r="C187" s="707"/>
      <c r="D187" s="707"/>
      <c r="E187" s="707"/>
      <c r="F187" s="707"/>
      <c r="G187" s="707"/>
      <c r="H187" s="707"/>
      <c r="I187" s="707"/>
      <c r="J187" s="707"/>
      <c r="K187" s="707"/>
      <c r="L187" s="707"/>
      <c r="M187" s="707"/>
      <c r="N187" s="707"/>
      <c r="O187" s="707"/>
      <c r="P187" s="707"/>
      <c r="Q187" s="707"/>
      <c r="R187" s="707"/>
      <c r="S187" s="707"/>
      <c r="T187" s="707"/>
      <c r="U187" s="707"/>
      <c r="V187" s="707"/>
      <c r="W187" s="707"/>
      <c r="X187" s="707"/>
      <c r="Y187" s="707"/>
      <c r="Z187" s="707"/>
      <c r="AA187" s="36" t="str">
        <f t="shared" si="162"/>
        <v/>
      </c>
      <c r="AB187" s="288" t="str">
        <f t="shared" si="214"/>
        <v/>
      </c>
      <c r="AC187" s="288" t="str">
        <f t="shared" si="215"/>
        <v/>
      </c>
      <c r="AD187" s="288" t="str">
        <f t="shared" si="216"/>
        <v/>
      </c>
      <c r="AE187" s="288" t="str">
        <f t="shared" si="217"/>
        <v/>
      </c>
      <c r="AF187" s="288" t="str">
        <f t="shared" si="218"/>
        <v/>
      </c>
      <c r="AG187" s="288" t="str">
        <f t="shared" si="219"/>
        <v/>
      </c>
      <c r="AH187" s="288" t="str">
        <f t="shared" si="220"/>
        <v/>
      </c>
      <c r="AI187" s="36">
        <f t="shared" si="221"/>
        <v>-1</v>
      </c>
      <c r="AJ187" s="36">
        <f t="shared" si="222"/>
        <v>-1</v>
      </c>
      <c r="AK187" s="36">
        <f t="shared" si="223"/>
        <v>-1</v>
      </c>
      <c r="AL187" s="36"/>
      <c r="AM187" s="36" t="str">
        <f t="shared" si="164"/>
        <v/>
      </c>
      <c r="AN187" s="288" t="str">
        <f t="shared" si="224"/>
        <v/>
      </c>
      <c r="AO187" s="288" t="str">
        <f t="shared" si="225"/>
        <v/>
      </c>
      <c r="AP187" s="288" t="str">
        <f t="shared" si="226"/>
        <v/>
      </c>
      <c r="AQ187" s="36">
        <f t="shared" ref="AQ187:AS187" si="235">AQ186</f>
        <v>3.3793103448275866E-2</v>
      </c>
      <c r="AR187" s="36">
        <f t="shared" si="235"/>
        <v>5.9329425287356324E-2</v>
      </c>
      <c r="AS187" s="36">
        <f t="shared" si="235"/>
        <v>8.4865747126436797E-2</v>
      </c>
      <c r="AT187" s="288">
        <f t="shared" si="228"/>
        <v>0.11040206896551726</v>
      </c>
    </row>
    <row r="188" spans="2:46">
      <c r="B188" s="287"/>
      <c r="C188" s="707"/>
      <c r="D188" s="707"/>
      <c r="E188" s="707"/>
      <c r="F188" s="707"/>
      <c r="G188" s="707"/>
      <c r="H188" s="707"/>
      <c r="I188" s="707"/>
      <c r="J188" s="707"/>
      <c r="K188" s="707"/>
      <c r="L188" s="707"/>
      <c r="M188" s="707"/>
      <c r="N188" s="707"/>
      <c r="O188" s="707"/>
      <c r="P188" s="707"/>
      <c r="Q188" s="707"/>
      <c r="R188" s="707"/>
      <c r="S188" s="707"/>
      <c r="T188" s="707"/>
      <c r="U188" s="707"/>
      <c r="V188" s="707"/>
      <c r="W188" s="707"/>
      <c r="X188" s="707"/>
      <c r="Y188" s="707"/>
      <c r="Z188" s="707"/>
      <c r="AA188" s="36" t="str">
        <f t="shared" si="162"/>
        <v/>
      </c>
      <c r="AB188" s="288" t="str">
        <f t="shared" si="214"/>
        <v/>
      </c>
      <c r="AC188" s="288" t="str">
        <f t="shared" si="215"/>
        <v/>
      </c>
      <c r="AD188" s="288" t="str">
        <f t="shared" si="216"/>
        <v/>
      </c>
      <c r="AE188" s="288" t="str">
        <f t="shared" si="217"/>
        <v/>
      </c>
      <c r="AF188" s="288" t="str">
        <f t="shared" si="218"/>
        <v/>
      </c>
      <c r="AG188" s="288" t="str">
        <f t="shared" si="219"/>
        <v/>
      </c>
      <c r="AH188" s="288" t="str">
        <f t="shared" si="220"/>
        <v/>
      </c>
      <c r="AI188" s="36">
        <f t="shared" si="221"/>
        <v>-1</v>
      </c>
      <c r="AJ188" s="36">
        <f t="shared" si="222"/>
        <v>-1</v>
      </c>
      <c r="AK188" s="36">
        <f t="shared" si="223"/>
        <v>-1</v>
      </c>
      <c r="AL188" s="36"/>
      <c r="AM188" s="36" t="str">
        <f t="shared" si="164"/>
        <v/>
      </c>
      <c r="AN188" s="288" t="str">
        <f t="shared" si="224"/>
        <v/>
      </c>
      <c r="AO188" s="288" t="str">
        <f t="shared" si="225"/>
        <v/>
      </c>
      <c r="AP188" s="288" t="str">
        <f t="shared" si="226"/>
        <v/>
      </c>
      <c r="AQ188" s="36">
        <f t="shared" ref="AQ188:AS188" si="236">AQ187</f>
        <v>3.3793103448275866E-2</v>
      </c>
      <c r="AR188" s="36">
        <f t="shared" si="236"/>
        <v>5.9329425287356324E-2</v>
      </c>
      <c r="AS188" s="36">
        <f t="shared" si="236"/>
        <v>8.4865747126436797E-2</v>
      </c>
      <c r="AT188" s="288">
        <f t="shared" si="228"/>
        <v>0.11040206896551726</v>
      </c>
    </row>
    <row r="189" spans="2:46">
      <c r="B189" s="287"/>
      <c r="C189" s="707"/>
      <c r="D189" s="707"/>
      <c r="E189" s="707"/>
      <c r="F189" s="707"/>
      <c r="G189" s="707"/>
      <c r="H189" s="707"/>
      <c r="I189" s="707"/>
      <c r="J189" s="707"/>
      <c r="K189" s="707"/>
      <c r="L189" s="707"/>
      <c r="M189" s="707"/>
      <c r="N189" s="707"/>
      <c r="O189" s="707"/>
      <c r="P189" s="707"/>
      <c r="Q189" s="707"/>
      <c r="R189" s="707"/>
      <c r="S189" s="707"/>
      <c r="T189" s="707"/>
      <c r="U189" s="707"/>
      <c r="V189" s="707"/>
      <c r="W189" s="707"/>
      <c r="X189" s="707"/>
      <c r="Y189" s="707"/>
      <c r="Z189" s="707"/>
      <c r="AA189" s="36" t="str">
        <f t="shared" si="162"/>
        <v/>
      </c>
      <c r="AB189" s="288" t="str">
        <f t="shared" si="214"/>
        <v/>
      </c>
      <c r="AC189" s="288" t="str">
        <f t="shared" si="215"/>
        <v/>
      </c>
      <c r="AD189" s="288" t="str">
        <f t="shared" si="216"/>
        <v/>
      </c>
      <c r="AE189" s="288" t="str">
        <f t="shared" si="217"/>
        <v/>
      </c>
      <c r="AF189" s="288" t="str">
        <f t="shared" si="218"/>
        <v/>
      </c>
      <c r="AG189" s="288" t="str">
        <f t="shared" si="219"/>
        <v/>
      </c>
      <c r="AH189" s="288" t="str">
        <f t="shared" si="220"/>
        <v/>
      </c>
      <c r="AI189" s="36">
        <f t="shared" si="221"/>
        <v>-1</v>
      </c>
      <c r="AJ189" s="36">
        <f t="shared" si="222"/>
        <v>-1</v>
      </c>
      <c r="AK189" s="36">
        <f t="shared" si="223"/>
        <v>-1</v>
      </c>
      <c r="AL189" s="36"/>
      <c r="AM189" s="36" t="str">
        <f t="shared" si="164"/>
        <v/>
      </c>
      <c r="AN189" s="288" t="str">
        <f t="shared" si="224"/>
        <v/>
      </c>
      <c r="AO189" s="288" t="str">
        <f t="shared" si="225"/>
        <v/>
      </c>
      <c r="AP189" s="288" t="str">
        <f t="shared" si="226"/>
        <v/>
      </c>
      <c r="AQ189" s="36">
        <f t="shared" ref="AQ189:AS189" si="237">AQ188</f>
        <v>3.3793103448275866E-2</v>
      </c>
      <c r="AR189" s="36">
        <f t="shared" si="237"/>
        <v>5.9329425287356324E-2</v>
      </c>
      <c r="AS189" s="36">
        <f t="shared" si="237"/>
        <v>8.4865747126436797E-2</v>
      </c>
      <c r="AT189" s="288">
        <f t="shared" si="228"/>
        <v>0.11040206896551726</v>
      </c>
    </row>
    <row r="190" spans="2:46">
      <c r="B190" s="287"/>
      <c r="C190" s="707"/>
      <c r="D190" s="707"/>
      <c r="E190" s="707"/>
      <c r="F190" s="707"/>
      <c r="G190" s="707"/>
      <c r="H190" s="707"/>
      <c r="I190" s="707"/>
      <c r="J190" s="707"/>
      <c r="K190" s="707"/>
      <c r="L190" s="707"/>
      <c r="M190" s="707"/>
      <c r="N190" s="707"/>
      <c r="O190" s="707"/>
      <c r="P190" s="707"/>
      <c r="Q190" s="707"/>
      <c r="R190" s="707"/>
      <c r="S190" s="707"/>
      <c r="T190" s="707"/>
      <c r="U190" s="707"/>
      <c r="V190" s="707"/>
      <c r="W190" s="707"/>
      <c r="X190" s="707"/>
      <c r="Y190" s="707"/>
      <c r="Z190" s="707"/>
      <c r="AA190" s="36" t="str">
        <f t="shared" si="162"/>
        <v/>
      </c>
      <c r="AB190" s="288" t="str">
        <f t="shared" si="214"/>
        <v/>
      </c>
      <c r="AC190" s="288" t="str">
        <f t="shared" si="215"/>
        <v/>
      </c>
      <c r="AD190" s="288" t="str">
        <f t="shared" si="216"/>
        <v/>
      </c>
      <c r="AE190" s="288" t="str">
        <f t="shared" si="217"/>
        <v/>
      </c>
      <c r="AF190" s="288" t="str">
        <f t="shared" si="218"/>
        <v/>
      </c>
      <c r="AG190" s="288" t="str">
        <f t="shared" si="219"/>
        <v/>
      </c>
      <c r="AH190" s="288" t="str">
        <f t="shared" si="220"/>
        <v/>
      </c>
      <c r="AI190" s="36">
        <f t="shared" si="221"/>
        <v>-1</v>
      </c>
      <c r="AJ190" s="36">
        <f t="shared" si="222"/>
        <v>-1</v>
      </c>
      <c r="AK190" s="36">
        <f t="shared" si="223"/>
        <v>-1</v>
      </c>
      <c r="AL190" s="36"/>
      <c r="AM190" s="36" t="str">
        <f t="shared" si="164"/>
        <v/>
      </c>
      <c r="AN190" s="288" t="str">
        <f t="shared" si="224"/>
        <v/>
      </c>
      <c r="AO190" s="288" t="str">
        <f t="shared" si="225"/>
        <v/>
      </c>
      <c r="AP190" s="288" t="str">
        <f t="shared" si="226"/>
        <v/>
      </c>
      <c r="AQ190" s="36">
        <f t="shared" ref="AQ190:AS190" si="238">AQ189</f>
        <v>3.3793103448275866E-2</v>
      </c>
      <c r="AR190" s="36">
        <f t="shared" si="238"/>
        <v>5.9329425287356324E-2</v>
      </c>
      <c r="AS190" s="36">
        <f t="shared" si="238"/>
        <v>8.4865747126436797E-2</v>
      </c>
      <c r="AT190" s="288">
        <f t="shared" si="228"/>
        <v>0.11040206896551726</v>
      </c>
    </row>
    <row r="191" spans="2:46">
      <c r="B191" s="287"/>
      <c r="C191" s="707"/>
      <c r="D191" s="707"/>
      <c r="E191" s="707"/>
      <c r="F191" s="707"/>
      <c r="G191" s="707"/>
      <c r="H191" s="707"/>
      <c r="I191" s="707"/>
      <c r="J191" s="707"/>
      <c r="K191" s="707"/>
      <c r="L191" s="707"/>
      <c r="M191" s="707"/>
      <c r="N191" s="707"/>
      <c r="O191" s="707"/>
      <c r="P191" s="707"/>
      <c r="Q191" s="707"/>
      <c r="R191" s="707"/>
      <c r="S191" s="707"/>
      <c r="T191" s="707"/>
      <c r="U191" s="707"/>
      <c r="V191" s="707"/>
      <c r="W191" s="707"/>
      <c r="X191" s="707"/>
      <c r="Y191" s="707"/>
      <c r="Z191" s="707"/>
      <c r="AA191" s="36" t="str">
        <f t="shared" si="162"/>
        <v/>
      </c>
      <c r="AB191" s="288" t="str">
        <f t="shared" si="214"/>
        <v/>
      </c>
      <c r="AC191" s="288" t="str">
        <f t="shared" si="215"/>
        <v/>
      </c>
      <c r="AD191" s="288" t="str">
        <f t="shared" si="216"/>
        <v/>
      </c>
      <c r="AE191" s="288" t="str">
        <f t="shared" si="217"/>
        <v/>
      </c>
      <c r="AF191" s="288" t="str">
        <f t="shared" si="218"/>
        <v/>
      </c>
      <c r="AG191" s="288" t="str">
        <f t="shared" si="219"/>
        <v/>
      </c>
      <c r="AH191" s="288" t="str">
        <f t="shared" si="220"/>
        <v/>
      </c>
      <c r="AI191" s="36">
        <f t="shared" si="221"/>
        <v>-1</v>
      </c>
      <c r="AJ191" s="36">
        <f t="shared" si="222"/>
        <v>-1</v>
      </c>
      <c r="AK191" s="36">
        <f t="shared" si="223"/>
        <v>-1</v>
      </c>
      <c r="AL191" s="36"/>
      <c r="AM191" s="36" t="str">
        <f t="shared" si="164"/>
        <v/>
      </c>
      <c r="AN191" s="288" t="str">
        <f t="shared" si="224"/>
        <v/>
      </c>
      <c r="AO191" s="288" t="str">
        <f t="shared" si="225"/>
        <v/>
      </c>
      <c r="AP191" s="288" t="str">
        <f t="shared" si="226"/>
        <v/>
      </c>
      <c r="AQ191" s="36">
        <f t="shared" ref="AQ191:AS191" si="239">AQ190</f>
        <v>3.3793103448275866E-2</v>
      </c>
      <c r="AR191" s="36">
        <f t="shared" si="239"/>
        <v>5.9329425287356324E-2</v>
      </c>
      <c r="AS191" s="36">
        <f t="shared" si="239"/>
        <v>8.4865747126436797E-2</v>
      </c>
      <c r="AT191" s="288">
        <f t="shared" si="228"/>
        <v>0.11040206896551726</v>
      </c>
    </row>
    <row r="192" spans="2:46">
      <c r="B192" s="287"/>
      <c r="C192" s="707"/>
      <c r="D192" s="707"/>
      <c r="E192" s="707"/>
      <c r="F192" s="707"/>
      <c r="G192" s="707"/>
      <c r="H192" s="707"/>
      <c r="I192" s="707"/>
      <c r="J192" s="707"/>
      <c r="K192" s="707"/>
      <c r="L192" s="707"/>
      <c r="M192" s="707"/>
      <c r="N192" s="707"/>
      <c r="O192" s="707"/>
      <c r="P192" s="707"/>
      <c r="Q192" s="707"/>
      <c r="R192" s="707"/>
      <c r="S192" s="707"/>
      <c r="T192" s="707"/>
      <c r="U192" s="707"/>
      <c r="V192" s="707"/>
      <c r="W192" s="707"/>
      <c r="X192" s="707"/>
      <c r="Y192" s="707"/>
      <c r="Z192" s="707"/>
      <c r="AA192" s="36" t="str">
        <f t="shared" si="162"/>
        <v/>
      </c>
      <c r="AB192" s="288" t="str">
        <f t="shared" si="214"/>
        <v/>
      </c>
      <c r="AC192" s="288" t="str">
        <f t="shared" si="215"/>
        <v/>
      </c>
      <c r="AD192" s="288" t="str">
        <f t="shared" si="216"/>
        <v/>
      </c>
      <c r="AE192" s="288" t="str">
        <f t="shared" si="217"/>
        <v/>
      </c>
      <c r="AF192" s="288" t="str">
        <f t="shared" si="218"/>
        <v/>
      </c>
      <c r="AG192" s="288" t="str">
        <f t="shared" si="219"/>
        <v/>
      </c>
      <c r="AH192" s="288" t="str">
        <f t="shared" si="220"/>
        <v/>
      </c>
      <c r="AI192" s="36">
        <f t="shared" si="221"/>
        <v>-1</v>
      </c>
      <c r="AJ192" s="36">
        <f t="shared" si="222"/>
        <v>-1</v>
      </c>
      <c r="AK192" s="36">
        <f t="shared" si="223"/>
        <v>-1</v>
      </c>
      <c r="AL192" s="36"/>
      <c r="AM192" s="36" t="str">
        <f t="shared" si="164"/>
        <v/>
      </c>
      <c r="AN192" s="288" t="str">
        <f t="shared" si="224"/>
        <v/>
      </c>
      <c r="AO192" s="288" t="str">
        <f t="shared" si="225"/>
        <v/>
      </c>
      <c r="AP192" s="288" t="str">
        <f t="shared" si="226"/>
        <v/>
      </c>
      <c r="AQ192" s="36">
        <f t="shared" ref="AQ192:AS192" si="240">AQ191</f>
        <v>3.3793103448275866E-2</v>
      </c>
      <c r="AR192" s="36">
        <f t="shared" si="240"/>
        <v>5.9329425287356324E-2</v>
      </c>
      <c r="AS192" s="36">
        <f t="shared" si="240"/>
        <v>8.4865747126436797E-2</v>
      </c>
      <c r="AT192" s="288">
        <f t="shared" si="228"/>
        <v>0.11040206896551726</v>
      </c>
    </row>
    <row r="193" spans="2:46">
      <c r="B193" s="287"/>
      <c r="C193" s="707"/>
      <c r="D193" s="707"/>
      <c r="E193" s="707"/>
      <c r="F193" s="707"/>
      <c r="G193" s="707"/>
      <c r="H193" s="707"/>
      <c r="I193" s="707"/>
      <c r="J193" s="707"/>
      <c r="K193" s="707"/>
      <c r="L193" s="707"/>
      <c r="M193" s="707"/>
      <c r="N193" s="707"/>
      <c r="O193" s="707"/>
      <c r="P193" s="707"/>
      <c r="Q193" s="707"/>
      <c r="R193" s="707"/>
      <c r="S193" s="707"/>
      <c r="T193" s="707"/>
      <c r="U193" s="707"/>
      <c r="V193" s="707"/>
      <c r="W193" s="707"/>
      <c r="X193" s="707"/>
      <c r="Y193" s="707"/>
      <c r="Z193" s="707"/>
      <c r="AA193" s="36" t="str">
        <f t="shared" si="162"/>
        <v/>
      </c>
      <c r="AB193" s="288" t="str">
        <f t="shared" si="214"/>
        <v/>
      </c>
      <c r="AC193" s="288" t="str">
        <f t="shared" si="215"/>
        <v/>
      </c>
      <c r="AD193" s="288" t="str">
        <f t="shared" si="216"/>
        <v/>
      </c>
      <c r="AE193" s="288" t="str">
        <f t="shared" si="217"/>
        <v/>
      </c>
      <c r="AF193" s="288" t="str">
        <f t="shared" si="218"/>
        <v/>
      </c>
      <c r="AG193" s="288" t="str">
        <f t="shared" si="219"/>
        <v/>
      </c>
      <c r="AH193" s="288" t="str">
        <f t="shared" si="220"/>
        <v/>
      </c>
      <c r="AI193" s="36">
        <f t="shared" si="221"/>
        <v>-1</v>
      </c>
      <c r="AJ193" s="36">
        <f t="shared" si="222"/>
        <v>-1</v>
      </c>
      <c r="AK193" s="36">
        <f t="shared" si="223"/>
        <v>-1</v>
      </c>
      <c r="AL193" s="36"/>
      <c r="AM193" s="36" t="str">
        <f t="shared" si="164"/>
        <v/>
      </c>
      <c r="AN193" s="288" t="str">
        <f t="shared" si="224"/>
        <v/>
      </c>
      <c r="AO193" s="288" t="str">
        <f t="shared" si="225"/>
        <v/>
      </c>
      <c r="AP193" s="288" t="str">
        <f t="shared" si="226"/>
        <v/>
      </c>
      <c r="AQ193" s="36">
        <f t="shared" ref="AQ193:AS193" si="241">AQ192</f>
        <v>3.3793103448275866E-2</v>
      </c>
      <c r="AR193" s="36">
        <f t="shared" si="241"/>
        <v>5.9329425287356324E-2</v>
      </c>
      <c r="AS193" s="36">
        <f t="shared" si="241"/>
        <v>8.4865747126436797E-2</v>
      </c>
      <c r="AT193" s="288">
        <f t="shared" si="228"/>
        <v>0.11040206896551726</v>
      </c>
    </row>
    <row r="194" spans="2:46">
      <c r="B194" s="287"/>
      <c r="C194" s="707"/>
      <c r="D194" s="707"/>
      <c r="E194" s="707"/>
      <c r="F194" s="707"/>
      <c r="G194" s="707"/>
      <c r="H194" s="707"/>
      <c r="I194" s="707"/>
      <c r="J194" s="707"/>
      <c r="K194" s="707"/>
      <c r="L194" s="707"/>
      <c r="M194" s="707"/>
      <c r="N194" s="707"/>
      <c r="O194" s="707"/>
      <c r="P194" s="707"/>
      <c r="Q194" s="707"/>
      <c r="R194" s="707"/>
      <c r="S194" s="707"/>
      <c r="T194" s="707"/>
      <c r="U194" s="707"/>
      <c r="V194" s="707"/>
      <c r="W194" s="707"/>
      <c r="X194" s="707"/>
      <c r="Y194" s="707"/>
      <c r="Z194" s="707"/>
      <c r="AA194" s="36" t="str">
        <f t="shared" ref="AA194:AA257" si="242">IF(B194="","",B194)</f>
        <v/>
      </c>
      <c r="AB194" s="288" t="str">
        <f t="shared" si="214"/>
        <v/>
      </c>
      <c r="AC194" s="288" t="str">
        <f t="shared" si="215"/>
        <v/>
      </c>
      <c r="AD194" s="288" t="str">
        <f t="shared" si="216"/>
        <v/>
      </c>
      <c r="AE194" s="288" t="str">
        <f t="shared" si="217"/>
        <v/>
      </c>
      <c r="AF194" s="288" t="str">
        <f t="shared" si="218"/>
        <v/>
      </c>
      <c r="AG194" s="288" t="str">
        <f t="shared" si="219"/>
        <v/>
      </c>
      <c r="AH194" s="288" t="str">
        <f t="shared" si="220"/>
        <v/>
      </c>
      <c r="AI194" s="36">
        <f t="shared" si="221"/>
        <v>-1</v>
      </c>
      <c r="AJ194" s="36">
        <f t="shared" si="222"/>
        <v>-1</v>
      </c>
      <c r="AK194" s="36">
        <f t="shared" si="223"/>
        <v>-1</v>
      </c>
      <c r="AL194" s="36"/>
      <c r="AM194" s="36" t="str">
        <f t="shared" si="164"/>
        <v/>
      </c>
      <c r="AN194" s="288" t="str">
        <f t="shared" si="224"/>
        <v/>
      </c>
      <c r="AO194" s="288" t="str">
        <f t="shared" si="225"/>
        <v/>
      </c>
      <c r="AP194" s="288" t="str">
        <f t="shared" si="226"/>
        <v/>
      </c>
      <c r="AQ194" s="36">
        <f t="shared" ref="AQ194:AS194" si="243">AQ193</f>
        <v>3.3793103448275866E-2</v>
      </c>
      <c r="AR194" s="36">
        <f t="shared" si="243"/>
        <v>5.9329425287356324E-2</v>
      </c>
      <c r="AS194" s="36">
        <f t="shared" si="243"/>
        <v>8.4865747126436797E-2</v>
      </c>
      <c r="AT194" s="288">
        <f t="shared" si="228"/>
        <v>0.11040206896551726</v>
      </c>
    </row>
    <row r="195" spans="2:46">
      <c r="B195" s="287"/>
      <c r="C195" s="707"/>
      <c r="D195" s="707"/>
      <c r="E195" s="707"/>
      <c r="F195" s="707"/>
      <c r="G195" s="707"/>
      <c r="H195" s="707"/>
      <c r="I195" s="707"/>
      <c r="J195" s="707"/>
      <c r="K195" s="707"/>
      <c r="L195" s="707"/>
      <c r="M195" s="707"/>
      <c r="N195" s="707"/>
      <c r="O195" s="707"/>
      <c r="P195" s="707"/>
      <c r="Q195" s="707"/>
      <c r="R195" s="707"/>
      <c r="S195" s="707"/>
      <c r="T195" s="707"/>
      <c r="U195" s="707"/>
      <c r="V195" s="707"/>
      <c r="W195" s="707"/>
      <c r="X195" s="707"/>
      <c r="Y195" s="707"/>
      <c r="Z195" s="707"/>
      <c r="AA195" s="36" t="str">
        <f t="shared" si="242"/>
        <v/>
      </c>
      <c r="AB195" s="288" t="str">
        <f t="shared" si="214"/>
        <v/>
      </c>
      <c r="AC195" s="288" t="str">
        <f t="shared" si="215"/>
        <v/>
      </c>
      <c r="AD195" s="288" t="str">
        <f t="shared" si="216"/>
        <v/>
      </c>
      <c r="AE195" s="288" t="str">
        <f t="shared" si="217"/>
        <v/>
      </c>
      <c r="AF195" s="288" t="str">
        <f t="shared" si="218"/>
        <v/>
      </c>
      <c r="AG195" s="288" t="str">
        <f t="shared" si="219"/>
        <v/>
      </c>
      <c r="AH195" s="288" t="str">
        <f t="shared" si="220"/>
        <v/>
      </c>
      <c r="AI195" s="36">
        <f t="shared" si="221"/>
        <v>-1</v>
      </c>
      <c r="AJ195" s="36">
        <f t="shared" si="222"/>
        <v>-1</v>
      </c>
      <c r="AK195" s="36">
        <f t="shared" si="223"/>
        <v>-1</v>
      </c>
      <c r="AL195" s="36"/>
      <c r="AM195" s="36" t="str">
        <f t="shared" ref="AM195:AM258" si="244">IF(B195="", "", ABS(B195-B194))</f>
        <v/>
      </c>
      <c r="AN195" s="288" t="str">
        <f t="shared" si="224"/>
        <v/>
      </c>
      <c r="AO195" s="288" t="str">
        <f t="shared" si="225"/>
        <v/>
      </c>
      <c r="AP195" s="288" t="str">
        <f t="shared" si="226"/>
        <v/>
      </c>
      <c r="AQ195" s="36">
        <f t="shared" ref="AQ195:AS195" si="245">AQ194</f>
        <v>3.3793103448275866E-2</v>
      </c>
      <c r="AR195" s="36">
        <f t="shared" si="245"/>
        <v>5.9329425287356324E-2</v>
      </c>
      <c r="AS195" s="36">
        <f t="shared" si="245"/>
        <v>8.4865747126436797E-2</v>
      </c>
      <c r="AT195" s="288">
        <f t="shared" si="228"/>
        <v>0.11040206896551726</v>
      </c>
    </row>
    <row r="196" spans="2:46">
      <c r="B196" s="287"/>
      <c r="C196" s="707"/>
      <c r="D196" s="707"/>
      <c r="E196" s="707"/>
      <c r="F196" s="707"/>
      <c r="G196" s="707"/>
      <c r="H196" s="707"/>
      <c r="I196" s="707"/>
      <c r="J196" s="707"/>
      <c r="K196" s="707"/>
      <c r="L196" s="707"/>
      <c r="M196" s="707"/>
      <c r="N196" s="707"/>
      <c r="O196" s="707"/>
      <c r="P196" s="707"/>
      <c r="Q196" s="707"/>
      <c r="R196" s="707"/>
      <c r="S196" s="707"/>
      <c r="T196" s="707"/>
      <c r="U196" s="707"/>
      <c r="V196" s="707"/>
      <c r="W196" s="707"/>
      <c r="X196" s="707"/>
      <c r="Y196" s="707"/>
      <c r="Z196" s="707"/>
      <c r="AA196" s="36" t="str">
        <f t="shared" si="242"/>
        <v/>
      </c>
      <c r="AB196" s="288" t="str">
        <f t="shared" si="214"/>
        <v/>
      </c>
      <c r="AC196" s="288" t="str">
        <f t="shared" si="215"/>
        <v/>
      </c>
      <c r="AD196" s="288" t="str">
        <f t="shared" si="216"/>
        <v/>
      </c>
      <c r="AE196" s="288" t="str">
        <f t="shared" si="217"/>
        <v/>
      </c>
      <c r="AF196" s="288" t="str">
        <f t="shared" si="218"/>
        <v/>
      </c>
      <c r="AG196" s="288" t="str">
        <f t="shared" si="219"/>
        <v/>
      </c>
      <c r="AH196" s="288" t="str">
        <f t="shared" si="220"/>
        <v/>
      </c>
      <c r="AI196" s="36">
        <f t="shared" si="221"/>
        <v>-1</v>
      </c>
      <c r="AJ196" s="36">
        <f t="shared" si="222"/>
        <v>-1</v>
      </c>
      <c r="AK196" s="36">
        <f t="shared" si="223"/>
        <v>-1</v>
      </c>
      <c r="AL196" s="36"/>
      <c r="AM196" s="36" t="str">
        <f t="shared" si="244"/>
        <v/>
      </c>
      <c r="AN196" s="288" t="str">
        <f t="shared" si="224"/>
        <v/>
      </c>
      <c r="AO196" s="288" t="str">
        <f t="shared" si="225"/>
        <v/>
      </c>
      <c r="AP196" s="288" t="str">
        <f t="shared" si="226"/>
        <v/>
      </c>
      <c r="AQ196" s="36">
        <f t="shared" ref="AQ196:AS196" si="246">AQ195</f>
        <v>3.3793103448275866E-2</v>
      </c>
      <c r="AR196" s="36">
        <f t="shared" si="246"/>
        <v>5.9329425287356324E-2</v>
      </c>
      <c r="AS196" s="36">
        <f t="shared" si="246"/>
        <v>8.4865747126436797E-2</v>
      </c>
      <c r="AT196" s="288">
        <f t="shared" si="228"/>
        <v>0.11040206896551726</v>
      </c>
    </row>
    <row r="197" spans="2:46">
      <c r="B197" s="287"/>
      <c r="C197" s="707"/>
      <c r="D197" s="707"/>
      <c r="E197" s="707"/>
      <c r="F197" s="707"/>
      <c r="G197" s="707"/>
      <c r="H197" s="707"/>
      <c r="I197" s="707"/>
      <c r="J197" s="707"/>
      <c r="K197" s="707"/>
      <c r="L197" s="707"/>
      <c r="M197" s="707"/>
      <c r="N197" s="707"/>
      <c r="O197" s="707"/>
      <c r="P197" s="707"/>
      <c r="Q197" s="707"/>
      <c r="R197" s="707"/>
      <c r="S197" s="707"/>
      <c r="T197" s="707"/>
      <c r="U197" s="707"/>
      <c r="V197" s="707"/>
      <c r="W197" s="707"/>
      <c r="X197" s="707"/>
      <c r="Y197" s="707"/>
      <c r="Z197" s="707"/>
      <c r="AA197" s="36" t="str">
        <f t="shared" si="242"/>
        <v/>
      </c>
      <c r="AB197" s="288" t="str">
        <f t="shared" si="214"/>
        <v/>
      </c>
      <c r="AC197" s="288" t="str">
        <f t="shared" si="215"/>
        <v/>
      </c>
      <c r="AD197" s="288" t="str">
        <f t="shared" si="216"/>
        <v/>
      </c>
      <c r="AE197" s="288" t="str">
        <f t="shared" si="217"/>
        <v/>
      </c>
      <c r="AF197" s="288" t="str">
        <f t="shared" si="218"/>
        <v/>
      </c>
      <c r="AG197" s="288" t="str">
        <f t="shared" si="219"/>
        <v/>
      </c>
      <c r="AH197" s="288" t="str">
        <f t="shared" si="220"/>
        <v/>
      </c>
      <c r="AI197" s="36">
        <f t="shared" si="221"/>
        <v>-1</v>
      </c>
      <c r="AJ197" s="36">
        <f t="shared" si="222"/>
        <v>-1</v>
      </c>
      <c r="AK197" s="36">
        <f t="shared" si="223"/>
        <v>-1</v>
      </c>
      <c r="AL197" s="36"/>
      <c r="AM197" s="36" t="str">
        <f t="shared" si="244"/>
        <v/>
      </c>
      <c r="AN197" s="288" t="str">
        <f t="shared" si="224"/>
        <v/>
      </c>
      <c r="AO197" s="288" t="str">
        <f t="shared" si="225"/>
        <v/>
      </c>
      <c r="AP197" s="288" t="str">
        <f t="shared" si="226"/>
        <v/>
      </c>
      <c r="AQ197" s="36">
        <f t="shared" ref="AQ197:AS197" si="247">AQ196</f>
        <v>3.3793103448275866E-2</v>
      </c>
      <c r="AR197" s="36">
        <f t="shared" si="247"/>
        <v>5.9329425287356324E-2</v>
      </c>
      <c r="AS197" s="36">
        <f t="shared" si="247"/>
        <v>8.4865747126436797E-2</v>
      </c>
      <c r="AT197" s="288">
        <f t="shared" si="228"/>
        <v>0.11040206896551726</v>
      </c>
    </row>
    <row r="198" spans="2:46">
      <c r="B198" s="287"/>
      <c r="C198" s="707"/>
      <c r="D198" s="707"/>
      <c r="E198" s="707"/>
      <c r="F198" s="707"/>
      <c r="G198" s="707"/>
      <c r="H198" s="707"/>
      <c r="I198" s="707"/>
      <c r="J198" s="707"/>
      <c r="K198" s="707"/>
      <c r="L198" s="707"/>
      <c r="M198" s="707"/>
      <c r="N198" s="707"/>
      <c r="O198" s="707"/>
      <c r="P198" s="707"/>
      <c r="Q198" s="707"/>
      <c r="R198" s="707"/>
      <c r="S198" s="707"/>
      <c r="T198" s="707"/>
      <c r="U198" s="707"/>
      <c r="V198" s="707"/>
      <c r="W198" s="707"/>
      <c r="X198" s="707"/>
      <c r="Y198" s="707"/>
      <c r="Z198" s="707"/>
      <c r="AA198" s="36" t="str">
        <f t="shared" si="242"/>
        <v/>
      </c>
      <c r="AB198" s="288" t="str">
        <f t="shared" si="214"/>
        <v/>
      </c>
      <c r="AC198" s="288" t="str">
        <f t="shared" si="215"/>
        <v/>
      </c>
      <c r="AD198" s="288" t="str">
        <f t="shared" si="216"/>
        <v/>
      </c>
      <c r="AE198" s="288" t="str">
        <f t="shared" si="217"/>
        <v/>
      </c>
      <c r="AF198" s="288" t="str">
        <f t="shared" si="218"/>
        <v/>
      </c>
      <c r="AG198" s="288" t="str">
        <f t="shared" si="219"/>
        <v/>
      </c>
      <c r="AH198" s="288" t="str">
        <f t="shared" si="220"/>
        <v/>
      </c>
      <c r="AI198" s="36">
        <f t="shared" si="221"/>
        <v>-1</v>
      </c>
      <c r="AJ198" s="36">
        <f t="shared" si="222"/>
        <v>-1</v>
      </c>
      <c r="AK198" s="36">
        <f t="shared" si="223"/>
        <v>-1</v>
      </c>
      <c r="AL198" s="36"/>
      <c r="AM198" s="36" t="str">
        <f t="shared" si="244"/>
        <v/>
      </c>
      <c r="AN198" s="288" t="str">
        <f t="shared" si="224"/>
        <v/>
      </c>
      <c r="AO198" s="288" t="str">
        <f t="shared" si="225"/>
        <v/>
      </c>
      <c r="AP198" s="288" t="str">
        <f t="shared" si="226"/>
        <v/>
      </c>
      <c r="AQ198" s="36">
        <f t="shared" ref="AQ198:AS198" si="248">AQ197</f>
        <v>3.3793103448275866E-2</v>
      </c>
      <c r="AR198" s="36">
        <f t="shared" si="248"/>
        <v>5.9329425287356324E-2</v>
      </c>
      <c r="AS198" s="36">
        <f t="shared" si="248"/>
        <v>8.4865747126436797E-2</v>
      </c>
      <c r="AT198" s="288">
        <f t="shared" si="228"/>
        <v>0.11040206896551726</v>
      </c>
    </row>
    <row r="199" spans="2:46">
      <c r="B199" s="287"/>
      <c r="C199" s="707"/>
      <c r="D199" s="707"/>
      <c r="E199" s="707"/>
      <c r="F199" s="707"/>
      <c r="G199" s="707"/>
      <c r="H199" s="707"/>
      <c r="I199" s="707"/>
      <c r="J199" s="707"/>
      <c r="K199" s="707"/>
      <c r="L199" s="707"/>
      <c r="M199" s="707"/>
      <c r="N199" s="707"/>
      <c r="O199" s="707"/>
      <c r="P199" s="707"/>
      <c r="Q199" s="707"/>
      <c r="R199" s="707"/>
      <c r="S199" s="707"/>
      <c r="T199" s="707"/>
      <c r="U199" s="707"/>
      <c r="V199" s="707"/>
      <c r="W199" s="707"/>
      <c r="X199" s="707"/>
      <c r="Y199" s="707"/>
      <c r="Z199" s="707"/>
      <c r="AA199" s="36" t="str">
        <f t="shared" si="242"/>
        <v/>
      </c>
      <c r="AB199" s="288" t="str">
        <f t="shared" si="214"/>
        <v/>
      </c>
      <c r="AC199" s="288" t="str">
        <f t="shared" si="215"/>
        <v/>
      </c>
      <c r="AD199" s="288" t="str">
        <f t="shared" si="216"/>
        <v/>
      </c>
      <c r="AE199" s="288" t="str">
        <f t="shared" si="217"/>
        <v/>
      </c>
      <c r="AF199" s="288" t="str">
        <f t="shared" si="218"/>
        <v/>
      </c>
      <c r="AG199" s="288" t="str">
        <f t="shared" si="219"/>
        <v/>
      </c>
      <c r="AH199" s="288" t="str">
        <f t="shared" si="220"/>
        <v/>
      </c>
      <c r="AI199" s="36">
        <f t="shared" si="221"/>
        <v>-1</v>
      </c>
      <c r="AJ199" s="36">
        <f t="shared" si="222"/>
        <v>-1</v>
      </c>
      <c r="AK199" s="36">
        <f t="shared" si="223"/>
        <v>-1</v>
      </c>
      <c r="AL199" s="36"/>
      <c r="AM199" s="36" t="str">
        <f t="shared" si="244"/>
        <v/>
      </c>
      <c r="AN199" s="288" t="str">
        <f t="shared" si="224"/>
        <v/>
      </c>
      <c r="AO199" s="288" t="str">
        <f t="shared" si="225"/>
        <v/>
      </c>
      <c r="AP199" s="288" t="str">
        <f t="shared" si="226"/>
        <v/>
      </c>
      <c r="AQ199" s="36">
        <f t="shared" ref="AQ199:AS199" si="249">AQ198</f>
        <v>3.3793103448275866E-2</v>
      </c>
      <c r="AR199" s="36">
        <f t="shared" si="249"/>
        <v>5.9329425287356324E-2</v>
      </c>
      <c r="AS199" s="36">
        <f t="shared" si="249"/>
        <v>8.4865747126436797E-2</v>
      </c>
      <c r="AT199" s="288">
        <f t="shared" si="228"/>
        <v>0.11040206896551726</v>
      </c>
    </row>
    <row r="200" spans="2:46">
      <c r="B200" s="287"/>
      <c r="C200" s="707"/>
      <c r="D200" s="707"/>
      <c r="E200" s="707"/>
      <c r="F200" s="707"/>
      <c r="G200" s="707"/>
      <c r="H200" s="707"/>
      <c r="I200" s="707"/>
      <c r="J200" s="707"/>
      <c r="K200" s="707"/>
      <c r="L200" s="707"/>
      <c r="M200" s="707"/>
      <c r="N200" s="707"/>
      <c r="O200" s="707"/>
      <c r="P200" s="707"/>
      <c r="Q200" s="707"/>
      <c r="R200" s="707"/>
      <c r="S200" s="707"/>
      <c r="T200" s="707"/>
      <c r="U200" s="707"/>
      <c r="V200" s="707"/>
      <c r="W200" s="707"/>
      <c r="X200" s="707"/>
      <c r="Y200" s="707"/>
      <c r="Z200" s="707"/>
      <c r="AA200" s="36" t="str">
        <f t="shared" si="242"/>
        <v/>
      </c>
      <c r="AB200" s="288" t="str">
        <f t="shared" si="214"/>
        <v/>
      </c>
      <c r="AC200" s="288" t="str">
        <f t="shared" si="215"/>
        <v/>
      </c>
      <c r="AD200" s="288" t="str">
        <f t="shared" si="216"/>
        <v/>
      </c>
      <c r="AE200" s="288" t="str">
        <f t="shared" si="217"/>
        <v/>
      </c>
      <c r="AF200" s="288" t="str">
        <f t="shared" si="218"/>
        <v/>
      </c>
      <c r="AG200" s="288" t="str">
        <f t="shared" si="219"/>
        <v/>
      </c>
      <c r="AH200" s="288" t="str">
        <f t="shared" si="220"/>
        <v/>
      </c>
      <c r="AI200" s="36">
        <f t="shared" si="221"/>
        <v>-1</v>
      </c>
      <c r="AJ200" s="36">
        <f t="shared" si="222"/>
        <v>-1</v>
      </c>
      <c r="AK200" s="36">
        <f t="shared" si="223"/>
        <v>-1</v>
      </c>
      <c r="AL200" s="36"/>
      <c r="AM200" s="36" t="str">
        <f t="shared" si="244"/>
        <v/>
      </c>
      <c r="AN200" s="288" t="str">
        <f t="shared" si="224"/>
        <v/>
      </c>
      <c r="AO200" s="288" t="str">
        <f t="shared" si="225"/>
        <v/>
      </c>
      <c r="AP200" s="288" t="str">
        <f t="shared" si="226"/>
        <v/>
      </c>
      <c r="AQ200" s="36">
        <f t="shared" ref="AQ200:AS200" si="250">AQ199</f>
        <v>3.3793103448275866E-2</v>
      </c>
      <c r="AR200" s="36">
        <f t="shared" si="250"/>
        <v>5.9329425287356324E-2</v>
      </c>
      <c r="AS200" s="36">
        <f t="shared" si="250"/>
        <v>8.4865747126436797E-2</v>
      </c>
      <c r="AT200" s="288">
        <f t="shared" si="228"/>
        <v>0.11040206896551726</v>
      </c>
    </row>
    <row r="201" spans="2:46">
      <c r="B201" s="287"/>
      <c r="C201" s="707"/>
      <c r="D201" s="707"/>
      <c r="E201" s="707"/>
      <c r="F201" s="707"/>
      <c r="G201" s="707"/>
      <c r="H201" s="707"/>
      <c r="I201" s="707"/>
      <c r="J201" s="707"/>
      <c r="K201" s="707"/>
      <c r="L201" s="707"/>
      <c r="M201" s="707"/>
      <c r="N201" s="707"/>
      <c r="O201" s="707"/>
      <c r="P201" s="707"/>
      <c r="Q201" s="707"/>
      <c r="R201" s="707"/>
      <c r="S201" s="707"/>
      <c r="T201" s="707"/>
      <c r="U201" s="707"/>
      <c r="V201" s="707"/>
      <c r="W201" s="707"/>
      <c r="X201" s="707"/>
      <c r="Y201" s="707"/>
      <c r="Z201" s="707"/>
      <c r="AA201" s="36" t="str">
        <f t="shared" si="242"/>
        <v/>
      </c>
      <c r="AB201" s="288" t="str">
        <f t="shared" si="214"/>
        <v/>
      </c>
      <c r="AC201" s="288" t="str">
        <f t="shared" si="215"/>
        <v/>
      </c>
      <c r="AD201" s="288" t="str">
        <f t="shared" si="216"/>
        <v/>
      </c>
      <c r="AE201" s="288" t="str">
        <f t="shared" si="217"/>
        <v/>
      </c>
      <c r="AF201" s="288" t="str">
        <f t="shared" si="218"/>
        <v/>
      </c>
      <c r="AG201" s="288" t="str">
        <f t="shared" si="219"/>
        <v/>
      </c>
      <c r="AH201" s="288" t="str">
        <f t="shared" si="220"/>
        <v/>
      </c>
      <c r="AI201" s="36">
        <f t="shared" si="221"/>
        <v>-1</v>
      </c>
      <c r="AJ201" s="36">
        <f t="shared" si="222"/>
        <v>-1</v>
      </c>
      <c r="AK201" s="36">
        <f t="shared" si="223"/>
        <v>-1</v>
      </c>
      <c r="AL201" s="36"/>
      <c r="AM201" s="36" t="str">
        <f t="shared" si="244"/>
        <v/>
      </c>
      <c r="AN201" s="288" t="str">
        <f t="shared" si="224"/>
        <v/>
      </c>
      <c r="AO201" s="288" t="str">
        <f t="shared" si="225"/>
        <v/>
      </c>
      <c r="AP201" s="288" t="str">
        <f t="shared" si="226"/>
        <v/>
      </c>
      <c r="AQ201" s="36">
        <f t="shared" ref="AQ201:AS201" si="251">AQ200</f>
        <v>3.3793103448275866E-2</v>
      </c>
      <c r="AR201" s="36">
        <f t="shared" si="251"/>
        <v>5.9329425287356324E-2</v>
      </c>
      <c r="AS201" s="36">
        <f t="shared" si="251"/>
        <v>8.4865747126436797E-2</v>
      </c>
      <c r="AT201" s="288">
        <f t="shared" si="228"/>
        <v>0.11040206896551726</v>
      </c>
    </row>
    <row r="202" spans="2:46">
      <c r="B202" s="287"/>
      <c r="C202" s="707"/>
      <c r="D202" s="707"/>
      <c r="E202" s="707"/>
      <c r="F202" s="707"/>
      <c r="G202" s="707"/>
      <c r="H202" s="707"/>
      <c r="I202" s="707"/>
      <c r="J202" s="707"/>
      <c r="K202" s="707"/>
      <c r="L202" s="707"/>
      <c r="M202" s="707"/>
      <c r="N202" s="707"/>
      <c r="O202" s="707"/>
      <c r="P202" s="707"/>
      <c r="Q202" s="707"/>
      <c r="R202" s="707"/>
      <c r="S202" s="707"/>
      <c r="T202" s="707"/>
      <c r="U202" s="707"/>
      <c r="V202" s="707"/>
      <c r="W202" s="707"/>
      <c r="X202" s="707"/>
      <c r="Y202" s="707"/>
      <c r="Z202" s="707"/>
      <c r="AA202" s="36" t="str">
        <f t="shared" si="242"/>
        <v/>
      </c>
      <c r="AB202" s="288" t="str">
        <f t="shared" si="214"/>
        <v/>
      </c>
      <c r="AC202" s="288" t="str">
        <f t="shared" si="215"/>
        <v/>
      </c>
      <c r="AD202" s="288" t="str">
        <f t="shared" si="216"/>
        <v/>
      </c>
      <c r="AE202" s="288" t="str">
        <f t="shared" si="217"/>
        <v/>
      </c>
      <c r="AF202" s="288" t="str">
        <f t="shared" si="218"/>
        <v/>
      </c>
      <c r="AG202" s="288" t="str">
        <f t="shared" si="219"/>
        <v/>
      </c>
      <c r="AH202" s="288" t="str">
        <f t="shared" si="220"/>
        <v/>
      </c>
      <c r="AI202" s="36">
        <f t="shared" si="221"/>
        <v>-1</v>
      </c>
      <c r="AJ202" s="36">
        <f t="shared" si="222"/>
        <v>-1</v>
      </c>
      <c r="AK202" s="36">
        <f t="shared" si="223"/>
        <v>-1</v>
      </c>
      <c r="AL202" s="36"/>
      <c r="AM202" s="36" t="str">
        <f t="shared" si="244"/>
        <v/>
      </c>
      <c r="AN202" s="288" t="str">
        <f t="shared" si="224"/>
        <v/>
      </c>
      <c r="AO202" s="288" t="str">
        <f t="shared" si="225"/>
        <v/>
      </c>
      <c r="AP202" s="288" t="str">
        <f t="shared" si="226"/>
        <v/>
      </c>
      <c r="AQ202" s="36">
        <f t="shared" ref="AQ202:AS202" si="252">AQ201</f>
        <v>3.3793103448275866E-2</v>
      </c>
      <c r="AR202" s="36">
        <f t="shared" si="252"/>
        <v>5.9329425287356324E-2</v>
      </c>
      <c r="AS202" s="36">
        <f t="shared" si="252"/>
        <v>8.4865747126436797E-2</v>
      </c>
      <c r="AT202" s="288">
        <f t="shared" si="228"/>
        <v>0.11040206896551726</v>
      </c>
    </row>
    <row r="203" spans="2:46">
      <c r="B203" s="287"/>
      <c r="C203" s="707"/>
      <c r="D203" s="707"/>
      <c r="E203" s="707"/>
      <c r="F203" s="707"/>
      <c r="G203" s="707"/>
      <c r="H203" s="707"/>
      <c r="I203" s="707"/>
      <c r="J203" s="707"/>
      <c r="K203" s="707"/>
      <c r="L203" s="707"/>
      <c r="M203" s="707"/>
      <c r="N203" s="707"/>
      <c r="O203" s="707"/>
      <c r="P203" s="707"/>
      <c r="Q203" s="707"/>
      <c r="R203" s="707"/>
      <c r="S203" s="707"/>
      <c r="T203" s="707"/>
      <c r="U203" s="707"/>
      <c r="V203" s="707"/>
      <c r="W203" s="707"/>
      <c r="X203" s="707"/>
      <c r="Y203" s="707"/>
      <c r="Z203" s="707"/>
      <c r="AA203" s="36" t="str">
        <f t="shared" si="242"/>
        <v/>
      </c>
      <c r="AB203" s="288" t="str">
        <f t="shared" si="214"/>
        <v/>
      </c>
      <c r="AC203" s="288" t="str">
        <f t="shared" si="215"/>
        <v/>
      </c>
      <c r="AD203" s="288" t="str">
        <f t="shared" si="216"/>
        <v/>
      </c>
      <c r="AE203" s="288" t="str">
        <f t="shared" si="217"/>
        <v/>
      </c>
      <c r="AF203" s="288" t="str">
        <f t="shared" si="218"/>
        <v/>
      </c>
      <c r="AG203" s="288" t="str">
        <f t="shared" si="219"/>
        <v/>
      </c>
      <c r="AH203" s="288" t="str">
        <f t="shared" si="220"/>
        <v/>
      </c>
      <c r="AI203" s="36">
        <f t="shared" si="221"/>
        <v>-1</v>
      </c>
      <c r="AJ203" s="36">
        <f t="shared" si="222"/>
        <v>-1</v>
      </c>
      <c r="AK203" s="36">
        <f t="shared" si="223"/>
        <v>-1</v>
      </c>
      <c r="AL203" s="36"/>
      <c r="AM203" s="36" t="str">
        <f t="shared" si="244"/>
        <v/>
      </c>
      <c r="AN203" s="288" t="str">
        <f t="shared" si="224"/>
        <v/>
      </c>
      <c r="AO203" s="288" t="str">
        <f t="shared" si="225"/>
        <v/>
      </c>
      <c r="AP203" s="288" t="str">
        <f t="shared" si="226"/>
        <v/>
      </c>
      <c r="AQ203" s="36">
        <f t="shared" ref="AQ203:AS203" si="253">AQ202</f>
        <v>3.3793103448275866E-2</v>
      </c>
      <c r="AR203" s="36">
        <f t="shared" si="253"/>
        <v>5.9329425287356324E-2</v>
      </c>
      <c r="AS203" s="36">
        <f t="shared" si="253"/>
        <v>8.4865747126436797E-2</v>
      </c>
      <c r="AT203" s="288">
        <f t="shared" si="228"/>
        <v>0.11040206896551726</v>
      </c>
    </row>
    <row r="204" spans="2:46">
      <c r="B204" s="287"/>
      <c r="C204" s="707"/>
      <c r="D204" s="707"/>
      <c r="E204" s="707"/>
      <c r="F204" s="707"/>
      <c r="G204" s="707"/>
      <c r="H204" s="707"/>
      <c r="I204" s="707"/>
      <c r="J204" s="707"/>
      <c r="K204" s="707"/>
      <c r="L204" s="707"/>
      <c r="M204" s="707"/>
      <c r="N204" s="707"/>
      <c r="O204" s="707"/>
      <c r="P204" s="707"/>
      <c r="Q204" s="707"/>
      <c r="R204" s="707"/>
      <c r="S204" s="707"/>
      <c r="T204" s="707"/>
      <c r="U204" s="707"/>
      <c r="V204" s="707"/>
      <c r="W204" s="707"/>
      <c r="X204" s="707"/>
      <c r="Y204" s="707"/>
      <c r="Z204" s="707"/>
      <c r="AA204" s="36" t="str">
        <f t="shared" si="242"/>
        <v/>
      </c>
      <c r="AB204" s="288" t="str">
        <f t="shared" si="214"/>
        <v/>
      </c>
      <c r="AC204" s="288" t="str">
        <f t="shared" si="215"/>
        <v/>
      </c>
      <c r="AD204" s="288" t="str">
        <f t="shared" si="216"/>
        <v/>
      </c>
      <c r="AE204" s="288" t="str">
        <f t="shared" si="217"/>
        <v/>
      </c>
      <c r="AF204" s="288" t="str">
        <f t="shared" si="218"/>
        <v/>
      </c>
      <c r="AG204" s="288" t="str">
        <f t="shared" si="219"/>
        <v/>
      </c>
      <c r="AH204" s="288" t="str">
        <f t="shared" si="220"/>
        <v/>
      </c>
      <c r="AI204" s="36">
        <f t="shared" si="221"/>
        <v>-1</v>
      </c>
      <c r="AJ204" s="36">
        <f t="shared" si="222"/>
        <v>-1</v>
      </c>
      <c r="AK204" s="36">
        <f t="shared" si="223"/>
        <v>-1</v>
      </c>
      <c r="AL204" s="36"/>
      <c r="AM204" s="36" t="str">
        <f t="shared" si="244"/>
        <v/>
      </c>
      <c r="AN204" s="288" t="str">
        <f t="shared" si="224"/>
        <v/>
      </c>
      <c r="AO204" s="288" t="str">
        <f t="shared" si="225"/>
        <v/>
      </c>
      <c r="AP204" s="288" t="str">
        <f t="shared" si="226"/>
        <v/>
      </c>
      <c r="AQ204" s="36">
        <f t="shared" ref="AQ204:AS204" si="254">AQ203</f>
        <v>3.3793103448275866E-2</v>
      </c>
      <c r="AR204" s="36">
        <f t="shared" si="254"/>
        <v>5.9329425287356324E-2</v>
      </c>
      <c r="AS204" s="36">
        <f t="shared" si="254"/>
        <v>8.4865747126436797E-2</v>
      </c>
      <c r="AT204" s="288">
        <f t="shared" si="228"/>
        <v>0.11040206896551726</v>
      </c>
    </row>
    <row r="205" spans="2:46">
      <c r="B205" s="287"/>
      <c r="C205" s="707"/>
      <c r="D205" s="707"/>
      <c r="E205" s="707"/>
      <c r="F205" s="707"/>
      <c r="G205" s="707"/>
      <c r="H205" s="707"/>
      <c r="I205" s="707"/>
      <c r="J205" s="707"/>
      <c r="K205" s="707"/>
      <c r="L205" s="707"/>
      <c r="M205" s="707"/>
      <c r="N205" s="707"/>
      <c r="O205" s="707"/>
      <c r="P205" s="707"/>
      <c r="Q205" s="707"/>
      <c r="R205" s="707"/>
      <c r="S205" s="707"/>
      <c r="T205" s="707"/>
      <c r="U205" s="707"/>
      <c r="V205" s="707"/>
      <c r="W205" s="707"/>
      <c r="X205" s="707"/>
      <c r="Y205" s="707"/>
      <c r="Z205" s="707"/>
      <c r="AA205" s="36" t="str">
        <f t="shared" si="242"/>
        <v/>
      </c>
      <c r="AB205" s="288" t="str">
        <f t="shared" si="214"/>
        <v/>
      </c>
      <c r="AC205" s="288" t="str">
        <f t="shared" si="215"/>
        <v/>
      </c>
      <c r="AD205" s="288" t="str">
        <f t="shared" si="216"/>
        <v/>
      </c>
      <c r="AE205" s="288" t="str">
        <f t="shared" si="217"/>
        <v/>
      </c>
      <c r="AF205" s="288" t="str">
        <f t="shared" si="218"/>
        <v/>
      </c>
      <c r="AG205" s="288" t="str">
        <f t="shared" si="219"/>
        <v/>
      </c>
      <c r="AH205" s="288" t="str">
        <f t="shared" si="220"/>
        <v/>
      </c>
      <c r="AI205" s="36">
        <f t="shared" si="221"/>
        <v>-1</v>
      </c>
      <c r="AJ205" s="36">
        <f t="shared" si="222"/>
        <v>-1</v>
      </c>
      <c r="AK205" s="36">
        <f t="shared" si="223"/>
        <v>-1</v>
      </c>
      <c r="AL205" s="36"/>
      <c r="AM205" s="36" t="str">
        <f t="shared" si="244"/>
        <v/>
      </c>
      <c r="AN205" s="288" t="str">
        <f t="shared" si="224"/>
        <v/>
      </c>
      <c r="AO205" s="288" t="str">
        <f t="shared" si="225"/>
        <v/>
      </c>
      <c r="AP205" s="288" t="str">
        <f t="shared" si="226"/>
        <v/>
      </c>
      <c r="AQ205" s="36">
        <f t="shared" ref="AQ205:AS205" si="255">AQ204</f>
        <v>3.3793103448275866E-2</v>
      </c>
      <c r="AR205" s="36">
        <f t="shared" si="255"/>
        <v>5.9329425287356324E-2</v>
      </c>
      <c r="AS205" s="36">
        <f t="shared" si="255"/>
        <v>8.4865747126436797E-2</v>
      </c>
      <c r="AT205" s="288">
        <f t="shared" si="228"/>
        <v>0.11040206896551726</v>
      </c>
    </row>
    <row r="206" spans="2:46">
      <c r="B206" s="287"/>
      <c r="C206" s="707"/>
      <c r="D206" s="707"/>
      <c r="E206" s="707"/>
      <c r="F206" s="707"/>
      <c r="G206" s="707"/>
      <c r="H206" s="707"/>
      <c r="I206" s="707"/>
      <c r="J206" s="707"/>
      <c r="K206" s="707"/>
      <c r="L206" s="707"/>
      <c r="M206" s="707"/>
      <c r="N206" s="707"/>
      <c r="O206" s="707"/>
      <c r="P206" s="707"/>
      <c r="Q206" s="707"/>
      <c r="R206" s="707"/>
      <c r="S206" s="707"/>
      <c r="T206" s="707"/>
      <c r="U206" s="707"/>
      <c r="V206" s="707"/>
      <c r="W206" s="707"/>
      <c r="X206" s="707"/>
      <c r="Y206" s="707"/>
      <c r="Z206" s="707"/>
      <c r="AA206" s="36" t="str">
        <f t="shared" si="242"/>
        <v/>
      </c>
      <c r="AB206" s="288" t="str">
        <f t="shared" si="214"/>
        <v/>
      </c>
      <c r="AC206" s="288" t="str">
        <f t="shared" si="215"/>
        <v/>
      </c>
      <c r="AD206" s="288" t="str">
        <f t="shared" si="216"/>
        <v/>
      </c>
      <c r="AE206" s="288" t="str">
        <f t="shared" si="217"/>
        <v/>
      </c>
      <c r="AF206" s="288" t="str">
        <f t="shared" si="218"/>
        <v/>
      </c>
      <c r="AG206" s="288" t="str">
        <f t="shared" si="219"/>
        <v/>
      </c>
      <c r="AH206" s="288" t="str">
        <f t="shared" si="220"/>
        <v/>
      </c>
      <c r="AI206" s="36">
        <f t="shared" si="221"/>
        <v>-1</v>
      </c>
      <c r="AJ206" s="36">
        <f t="shared" si="222"/>
        <v>-1</v>
      </c>
      <c r="AK206" s="36">
        <f t="shared" si="223"/>
        <v>-1</v>
      </c>
      <c r="AL206" s="36"/>
      <c r="AM206" s="36" t="str">
        <f t="shared" si="244"/>
        <v/>
      </c>
      <c r="AN206" s="288" t="str">
        <f t="shared" si="224"/>
        <v/>
      </c>
      <c r="AO206" s="288" t="str">
        <f t="shared" si="225"/>
        <v/>
      </c>
      <c r="AP206" s="288" t="str">
        <f t="shared" si="226"/>
        <v/>
      </c>
      <c r="AQ206" s="36">
        <f t="shared" ref="AQ206:AS206" si="256">AQ205</f>
        <v>3.3793103448275866E-2</v>
      </c>
      <c r="AR206" s="36">
        <f t="shared" si="256"/>
        <v>5.9329425287356324E-2</v>
      </c>
      <c r="AS206" s="36">
        <f t="shared" si="256"/>
        <v>8.4865747126436797E-2</v>
      </c>
      <c r="AT206" s="288">
        <f t="shared" si="228"/>
        <v>0.11040206896551726</v>
      </c>
    </row>
    <row r="207" spans="2:46">
      <c r="B207" s="287"/>
      <c r="C207" s="707"/>
      <c r="D207" s="707"/>
      <c r="E207" s="707"/>
      <c r="F207" s="707"/>
      <c r="G207" s="707"/>
      <c r="H207" s="707"/>
      <c r="I207" s="707"/>
      <c r="J207" s="707"/>
      <c r="K207" s="707"/>
      <c r="L207" s="707"/>
      <c r="M207" s="707"/>
      <c r="N207" s="707"/>
      <c r="O207" s="707"/>
      <c r="P207" s="707"/>
      <c r="Q207" s="707"/>
      <c r="R207" s="707"/>
      <c r="S207" s="707"/>
      <c r="T207" s="707"/>
      <c r="U207" s="707"/>
      <c r="V207" s="707"/>
      <c r="W207" s="707"/>
      <c r="X207" s="707"/>
      <c r="Y207" s="707"/>
      <c r="Z207" s="707"/>
      <c r="AA207" s="36" t="str">
        <f t="shared" si="242"/>
        <v/>
      </c>
      <c r="AB207" s="288" t="str">
        <f t="shared" si="214"/>
        <v/>
      </c>
      <c r="AC207" s="288" t="str">
        <f t="shared" si="215"/>
        <v/>
      </c>
      <c r="AD207" s="288" t="str">
        <f t="shared" si="216"/>
        <v/>
      </c>
      <c r="AE207" s="288" t="str">
        <f t="shared" si="217"/>
        <v/>
      </c>
      <c r="AF207" s="288" t="str">
        <f t="shared" si="218"/>
        <v/>
      </c>
      <c r="AG207" s="288" t="str">
        <f t="shared" si="219"/>
        <v/>
      </c>
      <c r="AH207" s="288" t="str">
        <f t="shared" si="220"/>
        <v/>
      </c>
      <c r="AI207" s="36">
        <f t="shared" si="221"/>
        <v>-1</v>
      </c>
      <c r="AJ207" s="36">
        <f t="shared" si="222"/>
        <v>-1</v>
      </c>
      <c r="AK207" s="36">
        <f t="shared" si="223"/>
        <v>-1</v>
      </c>
      <c r="AL207" s="36"/>
      <c r="AM207" s="36" t="str">
        <f t="shared" si="244"/>
        <v/>
      </c>
      <c r="AN207" s="288" t="str">
        <f t="shared" si="224"/>
        <v/>
      </c>
      <c r="AO207" s="288" t="str">
        <f t="shared" si="225"/>
        <v/>
      </c>
      <c r="AP207" s="288" t="str">
        <f t="shared" si="226"/>
        <v/>
      </c>
      <c r="AQ207" s="36">
        <f t="shared" ref="AQ207:AS207" si="257">AQ206</f>
        <v>3.3793103448275866E-2</v>
      </c>
      <c r="AR207" s="36">
        <f t="shared" si="257"/>
        <v>5.9329425287356324E-2</v>
      </c>
      <c r="AS207" s="36">
        <f t="shared" si="257"/>
        <v>8.4865747126436797E-2</v>
      </c>
      <c r="AT207" s="288">
        <f t="shared" si="228"/>
        <v>0.11040206896551726</v>
      </c>
    </row>
    <row r="208" spans="2:46">
      <c r="B208" s="287"/>
      <c r="C208" s="707"/>
      <c r="D208" s="707"/>
      <c r="E208" s="707"/>
      <c r="F208" s="707"/>
      <c r="G208" s="707"/>
      <c r="H208" s="707"/>
      <c r="I208" s="707"/>
      <c r="J208" s="707"/>
      <c r="K208" s="707"/>
      <c r="L208" s="707"/>
      <c r="M208" s="707"/>
      <c r="N208" s="707"/>
      <c r="O208" s="707"/>
      <c r="P208" s="707"/>
      <c r="Q208" s="707"/>
      <c r="R208" s="707"/>
      <c r="S208" s="707"/>
      <c r="T208" s="707"/>
      <c r="U208" s="707"/>
      <c r="V208" s="707"/>
      <c r="W208" s="707"/>
      <c r="X208" s="707"/>
      <c r="Y208" s="707"/>
      <c r="Z208" s="707"/>
      <c r="AA208" s="36" t="str">
        <f t="shared" si="242"/>
        <v/>
      </c>
      <c r="AB208" s="288" t="str">
        <f t="shared" si="214"/>
        <v/>
      </c>
      <c r="AC208" s="288" t="str">
        <f t="shared" si="215"/>
        <v/>
      </c>
      <c r="AD208" s="288" t="str">
        <f t="shared" si="216"/>
        <v/>
      </c>
      <c r="AE208" s="288" t="str">
        <f t="shared" si="217"/>
        <v/>
      </c>
      <c r="AF208" s="288" t="str">
        <f t="shared" si="218"/>
        <v/>
      </c>
      <c r="AG208" s="288" t="str">
        <f t="shared" si="219"/>
        <v/>
      </c>
      <c r="AH208" s="288" t="str">
        <f t="shared" si="220"/>
        <v/>
      </c>
      <c r="AI208" s="36">
        <f t="shared" si="221"/>
        <v>-1</v>
      </c>
      <c r="AJ208" s="36">
        <f t="shared" si="222"/>
        <v>-1</v>
      </c>
      <c r="AK208" s="36">
        <f t="shared" si="223"/>
        <v>-1</v>
      </c>
      <c r="AL208" s="36"/>
      <c r="AM208" s="36" t="str">
        <f t="shared" si="244"/>
        <v/>
      </c>
      <c r="AN208" s="288" t="str">
        <f t="shared" si="224"/>
        <v/>
      </c>
      <c r="AO208" s="288" t="str">
        <f t="shared" si="225"/>
        <v/>
      </c>
      <c r="AP208" s="288" t="str">
        <f t="shared" si="226"/>
        <v/>
      </c>
      <c r="AQ208" s="36">
        <f t="shared" ref="AQ208:AS208" si="258">AQ207</f>
        <v>3.3793103448275866E-2</v>
      </c>
      <c r="AR208" s="36">
        <f t="shared" si="258"/>
        <v>5.9329425287356324E-2</v>
      </c>
      <c r="AS208" s="36">
        <f t="shared" si="258"/>
        <v>8.4865747126436797E-2</v>
      </c>
      <c r="AT208" s="288">
        <f t="shared" si="228"/>
        <v>0.11040206896551726</v>
      </c>
    </row>
    <row r="209" spans="2:46">
      <c r="B209" s="287"/>
      <c r="C209" s="707"/>
      <c r="D209" s="707"/>
      <c r="E209" s="707"/>
      <c r="F209" s="707"/>
      <c r="G209" s="707"/>
      <c r="H209" s="707"/>
      <c r="I209" s="707"/>
      <c r="J209" s="707"/>
      <c r="K209" s="707"/>
      <c r="L209" s="707"/>
      <c r="M209" s="707"/>
      <c r="N209" s="707"/>
      <c r="O209" s="707"/>
      <c r="P209" s="707"/>
      <c r="Q209" s="707"/>
      <c r="R209" s="707"/>
      <c r="S209" s="707"/>
      <c r="T209" s="707"/>
      <c r="U209" s="707"/>
      <c r="V209" s="707"/>
      <c r="W209" s="707"/>
      <c r="X209" s="707"/>
      <c r="Y209" s="707"/>
      <c r="Z209" s="707"/>
      <c r="AA209" s="36" t="str">
        <f t="shared" si="242"/>
        <v/>
      </c>
      <c r="AB209" s="288" t="str">
        <f t="shared" si="214"/>
        <v/>
      </c>
      <c r="AC209" s="288" t="str">
        <f t="shared" si="215"/>
        <v/>
      </c>
      <c r="AD209" s="288" t="str">
        <f t="shared" si="216"/>
        <v/>
      </c>
      <c r="AE209" s="288" t="str">
        <f t="shared" si="217"/>
        <v/>
      </c>
      <c r="AF209" s="288" t="str">
        <f t="shared" si="218"/>
        <v/>
      </c>
      <c r="AG209" s="288" t="str">
        <f t="shared" si="219"/>
        <v/>
      </c>
      <c r="AH209" s="288" t="str">
        <f t="shared" si="220"/>
        <v/>
      </c>
      <c r="AI209" s="36">
        <f t="shared" si="221"/>
        <v>-1</v>
      </c>
      <c r="AJ209" s="36">
        <f t="shared" si="222"/>
        <v>-1</v>
      </c>
      <c r="AK209" s="36">
        <f t="shared" si="223"/>
        <v>-1</v>
      </c>
      <c r="AL209" s="36"/>
      <c r="AM209" s="36" t="str">
        <f t="shared" si="244"/>
        <v/>
      </c>
      <c r="AN209" s="288" t="str">
        <f t="shared" si="224"/>
        <v/>
      </c>
      <c r="AO209" s="288" t="str">
        <f t="shared" si="225"/>
        <v/>
      </c>
      <c r="AP209" s="288" t="str">
        <f t="shared" si="226"/>
        <v/>
      </c>
      <c r="AQ209" s="36">
        <f t="shared" ref="AQ209:AS209" si="259">AQ208</f>
        <v>3.3793103448275866E-2</v>
      </c>
      <c r="AR209" s="36">
        <f t="shared" si="259"/>
        <v>5.9329425287356324E-2</v>
      </c>
      <c r="AS209" s="36">
        <f t="shared" si="259"/>
        <v>8.4865747126436797E-2</v>
      </c>
      <c r="AT209" s="288">
        <f t="shared" si="228"/>
        <v>0.11040206896551726</v>
      </c>
    </row>
    <row r="210" spans="2:46">
      <c r="B210" s="287"/>
      <c r="C210" s="707"/>
      <c r="D210" s="707"/>
      <c r="E210" s="707"/>
      <c r="F210" s="707"/>
      <c r="G210" s="707"/>
      <c r="H210" s="707"/>
      <c r="I210" s="707"/>
      <c r="J210" s="707"/>
      <c r="K210" s="707"/>
      <c r="L210" s="707"/>
      <c r="M210" s="707"/>
      <c r="N210" s="707"/>
      <c r="O210" s="707"/>
      <c r="P210" s="707"/>
      <c r="Q210" s="707"/>
      <c r="R210" s="707"/>
      <c r="S210" s="707"/>
      <c r="T210" s="707"/>
      <c r="U210" s="707"/>
      <c r="V210" s="707"/>
      <c r="W210" s="707"/>
      <c r="X210" s="707"/>
      <c r="Y210" s="707"/>
      <c r="Z210" s="707"/>
      <c r="AA210" s="36" t="str">
        <f t="shared" si="242"/>
        <v/>
      </c>
      <c r="AB210" s="288" t="str">
        <f t="shared" si="214"/>
        <v/>
      </c>
      <c r="AC210" s="288" t="str">
        <f t="shared" si="215"/>
        <v/>
      </c>
      <c r="AD210" s="288" t="str">
        <f t="shared" si="216"/>
        <v/>
      </c>
      <c r="AE210" s="288" t="str">
        <f t="shared" si="217"/>
        <v/>
      </c>
      <c r="AF210" s="288" t="str">
        <f t="shared" si="218"/>
        <v/>
      </c>
      <c r="AG210" s="288" t="str">
        <f t="shared" si="219"/>
        <v/>
      </c>
      <c r="AH210" s="288" t="str">
        <f t="shared" si="220"/>
        <v/>
      </c>
      <c r="AI210" s="36">
        <f t="shared" si="221"/>
        <v>-1</v>
      </c>
      <c r="AJ210" s="36">
        <f t="shared" si="222"/>
        <v>-1</v>
      </c>
      <c r="AK210" s="36">
        <f t="shared" si="223"/>
        <v>-1</v>
      </c>
      <c r="AL210" s="36"/>
      <c r="AM210" s="36" t="str">
        <f t="shared" si="244"/>
        <v/>
      </c>
      <c r="AN210" s="288" t="str">
        <f t="shared" si="224"/>
        <v/>
      </c>
      <c r="AO210" s="288" t="str">
        <f t="shared" si="225"/>
        <v/>
      </c>
      <c r="AP210" s="288" t="str">
        <f t="shared" si="226"/>
        <v/>
      </c>
      <c r="AQ210" s="36">
        <f t="shared" ref="AQ210:AS210" si="260">AQ209</f>
        <v>3.3793103448275866E-2</v>
      </c>
      <c r="AR210" s="36">
        <f t="shared" si="260"/>
        <v>5.9329425287356324E-2</v>
      </c>
      <c r="AS210" s="36">
        <f t="shared" si="260"/>
        <v>8.4865747126436797E-2</v>
      </c>
      <c r="AT210" s="288">
        <f t="shared" si="228"/>
        <v>0.11040206896551726</v>
      </c>
    </row>
    <row r="211" spans="2:46">
      <c r="B211" s="287"/>
      <c r="C211" s="707"/>
      <c r="D211" s="707"/>
      <c r="E211" s="707"/>
      <c r="F211" s="707"/>
      <c r="G211" s="707"/>
      <c r="H211" s="707"/>
      <c r="I211" s="707"/>
      <c r="J211" s="707"/>
      <c r="K211" s="707"/>
      <c r="L211" s="707"/>
      <c r="M211" s="707"/>
      <c r="N211" s="707"/>
      <c r="O211" s="707"/>
      <c r="P211" s="707"/>
      <c r="Q211" s="707"/>
      <c r="R211" s="707"/>
      <c r="S211" s="707"/>
      <c r="T211" s="707"/>
      <c r="U211" s="707"/>
      <c r="V211" s="707"/>
      <c r="W211" s="707"/>
      <c r="X211" s="707"/>
      <c r="Y211" s="707"/>
      <c r="Z211" s="707"/>
      <c r="AA211" s="36" t="str">
        <f t="shared" si="242"/>
        <v/>
      </c>
      <c r="AB211" s="288" t="str">
        <f t="shared" si="214"/>
        <v/>
      </c>
      <c r="AC211" s="288" t="str">
        <f t="shared" si="215"/>
        <v/>
      </c>
      <c r="AD211" s="288" t="str">
        <f t="shared" si="216"/>
        <v/>
      </c>
      <c r="AE211" s="288" t="str">
        <f t="shared" si="217"/>
        <v/>
      </c>
      <c r="AF211" s="288" t="str">
        <f t="shared" si="218"/>
        <v/>
      </c>
      <c r="AG211" s="288" t="str">
        <f t="shared" si="219"/>
        <v/>
      </c>
      <c r="AH211" s="288" t="str">
        <f t="shared" si="220"/>
        <v/>
      </c>
      <c r="AI211" s="36">
        <f t="shared" si="221"/>
        <v>-1</v>
      </c>
      <c r="AJ211" s="36">
        <f t="shared" si="222"/>
        <v>-1</v>
      </c>
      <c r="AK211" s="36">
        <f t="shared" si="223"/>
        <v>-1</v>
      </c>
      <c r="AL211" s="36"/>
      <c r="AM211" s="36" t="str">
        <f t="shared" si="244"/>
        <v/>
      </c>
      <c r="AN211" s="288" t="str">
        <f t="shared" si="224"/>
        <v/>
      </c>
      <c r="AO211" s="288" t="str">
        <f t="shared" si="225"/>
        <v/>
      </c>
      <c r="AP211" s="288" t="str">
        <f t="shared" si="226"/>
        <v/>
      </c>
      <c r="AQ211" s="36">
        <f t="shared" ref="AQ211:AS211" si="261">AQ210</f>
        <v>3.3793103448275866E-2</v>
      </c>
      <c r="AR211" s="36">
        <f t="shared" si="261"/>
        <v>5.9329425287356324E-2</v>
      </c>
      <c r="AS211" s="36">
        <f t="shared" si="261"/>
        <v>8.4865747126436797E-2</v>
      </c>
      <c r="AT211" s="288">
        <f t="shared" si="228"/>
        <v>0.11040206896551726</v>
      </c>
    </row>
    <row r="212" spans="2:46">
      <c r="B212" s="287"/>
      <c r="C212" s="707"/>
      <c r="D212" s="707"/>
      <c r="E212" s="707"/>
      <c r="F212" s="707"/>
      <c r="G212" s="707"/>
      <c r="H212" s="707"/>
      <c r="I212" s="707"/>
      <c r="J212" s="707"/>
      <c r="K212" s="707"/>
      <c r="L212" s="707"/>
      <c r="M212" s="707"/>
      <c r="N212" s="707"/>
      <c r="O212" s="707"/>
      <c r="P212" s="707"/>
      <c r="Q212" s="707"/>
      <c r="R212" s="707"/>
      <c r="S212" s="707"/>
      <c r="T212" s="707"/>
      <c r="U212" s="707"/>
      <c r="V212" s="707"/>
      <c r="W212" s="707"/>
      <c r="X212" s="707"/>
      <c r="Y212" s="707"/>
      <c r="Z212" s="707"/>
      <c r="AA212" s="36" t="str">
        <f t="shared" si="242"/>
        <v/>
      </c>
      <c r="AB212" s="288" t="str">
        <f t="shared" si="214"/>
        <v/>
      </c>
      <c r="AC212" s="288" t="str">
        <f t="shared" si="215"/>
        <v/>
      </c>
      <c r="AD212" s="288" t="str">
        <f t="shared" si="216"/>
        <v/>
      </c>
      <c r="AE212" s="288" t="str">
        <f t="shared" si="217"/>
        <v/>
      </c>
      <c r="AF212" s="288" t="str">
        <f t="shared" si="218"/>
        <v/>
      </c>
      <c r="AG212" s="288" t="str">
        <f t="shared" si="219"/>
        <v/>
      </c>
      <c r="AH212" s="288" t="str">
        <f t="shared" si="220"/>
        <v/>
      </c>
      <c r="AI212" s="36">
        <f t="shared" si="221"/>
        <v>-1</v>
      </c>
      <c r="AJ212" s="36">
        <f t="shared" si="222"/>
        <v>-1</v>
      </c>
      <c r="AK212" s="36">
        <f t="shared" si="223"/>
        <v>-1</v>
      </c>
      <c r="AL212" s="36"/>
      <c r="AM212" s="36" t="str">
        <f t="shared" si="244"/>
        <v/>
      </c>
      <c r="AN212" s="288" t="str">
        <f t="shared" si="224"/>
        <v/>
      </c>
      <c r="AO212" s="288" t="str">
        <f t="shared" si="225"/>
        <v/>
      </c>
      <c r="AP212" s="288" t="str">
        <f t="shared" si="226"/>
        <v/>
      </c>
      <c r="AQ212" s="36">
        <f t="shared" ref="AQ212:AS212" si="262">AQ211</f>
        <v>3.3793103448275866E-2</v>
      </c>
      <c r="AR212" s="36">
        <f t="shared" si="262"/>
        <v>5.9329425287356324E-2</v>
      </c>
      <c r="AS212" s="36">
        <f t="shared" si="262"/>
        <v>8.4865747126436797E-2</v>
      </c>
      <c r="AT212" s="288">
        <f t="shared" si="228"/>
        <v>0.11040206896551726</v>
      </c>
    </row>
    <row r="213" spans="2:46">
      <c r="B213" s="287"/>
      <c r="C213" s="707"/>
      <c r="D213" s="707"/>
      <c r="E213" s="707"/>
      <c r="F213" s="707"/>
      <c r="G213" s="707"/>
      <c r="H213" s="707"/>
      <c r="I213" s="707"/>
      <c r="J213" s="707"/>
      <c r="K213" s="707"/>
      <c r="L213" s="707"/>
      <c r="M213" s="707"/>
      <c r="N213" s="707"/>
      <c r="O213" s="707"/>
      <c r="P213" s="707"/>
      <c r="Q213" s="707"/>
      <c r="R213" s="707"/>
      <c r="S213" s="707"/>
      <c r="T213" s="707"/>
      <c r="U213" s="707"/>
      <c r="V213" s="707"/>
      <c r="W213" s="707"/>
      <c r="X213" s="707"/>
      <c r="Y213" s="707"/>
      <c r="Z213" s="707"/>
      <c r="AA213" s="36" t="str">
        <f t="shared" si="242"/>
        <v/>
      </c>
      <c r="AB213" s="288" t="str">
        <f t="shared" si="214"/>
        <v/>
      </c>
      <c r="AC213" s="288" t="str">
        <f t="shared" si="215"/>
        <v/>
      </c>
      <c r="AD213" s="288" t="str">
        <f t="shared" si="216"/>
        <v/>
      </c>
      <c r="AE213" s="288" t="str">
        <f t="shared" si="217"/>
        <v/>
      </c>
      <c r="AF213" s="288" t="str">
        <f t="shared" si="218"/>
        <v/>
      </c>
      <c r="AG213" s="288" t="str">
        <f t="shared" si="219"/>
        <v/>
      </c>
      <c r="AH213" s="288" t="str">
        <f t="shared" si="220"/>
        <v/>
      </c>
      <c r="AI213" s="36">
        <f t="shared" si="221"/>
        <v>-1</v>
      </c>
      <c r="AJ213" s="36">
        <f t="shared" si="222"/>
        <v>-1</v>
      </c>
      <c r="AK213" s="36">
        <f t="shared" si="223"/>
        <v>-1</v>
      </c>
      <c r="AL213" s="36"/>
      <c r="AM213" s="36" t="str">
        <f t="shared" si="244"/>
        <v/>
      </c>
      <c r="AN213" s="288" t="str">
        <f t="shared" si="224"/>
        <v/>
      </c>
      <c r="AO213" s="288" t="str">
        <f t="shared" si="225"/>
        <v/>
      </c>
      <c r="AP213" s="288" t="str">
        <f t="shared" si="226"/>
        <v/>
      </c>
      <c r="AQ213" s="36">
        <f t="shared" ref="AQ213:AS213" si="263">AQ212</f>
        <v>3.3793103448275866E-2</v>
      </c>
      <c r="AR213" s="36">
        <f t="shared" si="263"/>
        <v>5.9329425287356324E-2</v>
      </c>
      <c r="AS213" s="36">
        <f t="shared" si="263"/>
        <v>8.4865747126436797E-2</v>
      </c>
      <c r="AT213" s="288">
        <f t="shared" si="228"/>
        <v>0.11040206896551726</v>
      </c>
    </row>
    <row r="214" spans="2:46">
      <c r="B214" s="287"/>
      <c r="C214" s="707"/>
      <c r="D214" s="707"/>
      <c r="E214" s="707"/>
      <c r="F214" s="707"/>
      <c r="G214" s="707"/>
      <c r="H214" s="707"/>
      <c r="I214" s="707"/>
      <c r="J214" s="707"/>
      <c r="K214" s="707"/>
      <c r="L214" s="707"/>
      <c r="M214" s="707"/>
      <c r="N214" s="707"/>
      <c r="O214" s="707"/>
      <c r="P214" s="707"/>
      <c r="Q214" s="707"/>
      <c r="R214" s="707"/>
      <c r="S214" s="707"/>
      <c r="T214" s="707"/>
      <c r="U214" s="707"/>
      <c r="V214" s="707"/>
      <c r="W214" s="707"/>
      <c r="X214" s="707"/>
      <c r="Y214" s="707"/>
      <c r="Z214" s="707"/>
      <c r="AA214" s="36" t="str">
        <f t="shared" si="242"/>
        <v/>
      </c>
      <c r="AB214" s="288" t="str">
        <f t="shared" si="214"/>
        <v/>
      </c>
      <c r="AC214" s="288" t="str">
        <f t="shared" si="215"/>
        <v/>
      </c>
      <c r="AD214" s="288" t="str">
        <f t="shared" si="216"/>
        <v/>
      </c>
      <c r="AE214" s="288" t="str">
        <f t="shared" si="217"/>
        <v/>
      </c>
      <c r="AF214" s="288" t="str">
        <f t="shared" si="218"/>
        <v/>
      </c>
      <c r="AG214" s="288" t="str">
        <f t="shared" si="219"/>
        <v/>
      </c>
      <c r="AH214" s="288" t="str">
        <f t="shared" si="220"/>
        <v/>
      </c>
      <c r="AI214" s="36">
        <f t="shared" si="221"/>
        <v>-1</v>
      </c>
      <c r="AJ214" s="36">
        <f t="shared" si="222"/>
        <v>-1</v>
      </c>
      <c r="AK214" s="36">
        <f t="shared" si="223"/>
        <v>-1</v>
      </c>
      <c r="AL214" s="36"/>
      <c r="AM214" s="36" t="str">
        <f t="shared" si="244"/>
        <v/>
      </c>
      <c r="AN214" s="288" t="str">
        <f t="shared" si="224"/>
        <v/>
      </c>
      <c r="AO214" s="288" t="str">
        <f t="shared" si="225"/>
        <v/>
      </c>
      <c r="AP214" s="288" t="str">
        <f t="shared" si="226"/>
        <v/>
      </c>
      <c r="AQ214" s="36">
        <f t="shared" ref="AQ214:AS214" si="264">AQ213</f>
        <v>3.3793103448275866E-2</v>
      </c>
      <c r="AR214" s="36">
        <f t="shared" si="264"/>
        <v>5.9329425287356324E-2</v>
      </c>
      <c r="AS214" s="36">
        <f t="shared" si="264"/>
        <v>8.4865747126436797E-2</v>
      </c>
      <c r="AT214" s="288">
        <f t="shared" si="228"/>
        <v>0.11040206896551726</v>
      </c>
    </row>
    <row r="215" spans="2:46">
      <c r="B215" s="287"/>
      <c r="C215" s="707"/>
      <c r="D215" s="707"/>
      <c r="E215" s="707"/>
      <c r="F215" s="707"/>
      <c r="G215" s="707"/>
      <c r="H215" s="707"/>
      <c r="I215" s="707"/>
      <c r="J215" s="707"/>
      <c r="K215" s="707"/>
      <c r="L215" s="707"/>
      <c r="M215" s="707"/>
      <c r="N215" s="707"/>
      <c r="O215" s="707"/>
      <c r="P215" s="707"/>
      <c r="Q215" s="707"/>
      <c r="R215" s="707"/>
      <c r="S215" s="707"/>
      <c r="T215" s="707"/>
      <c r="U215" s="707"/>
      <c r="V215" s="707"/>
      <c r="W215" s="707"/>
      <c r="X215" s="707"/>
      <c r="Y215" s="707"/>
      <c r="Z215" s="707"/>
      <c r="AA215" s="36" t="str">
        <f t="shared" si="242"/>
        <v/>
      </c>
      <c r="AB215" s="288" t="str">
        <f t="shared" si="214"/>
        <v/>
      </c>
      <c r="AC215" s="288" t="str">
        <f t="shared" si="215"/>
        <v/>
      </c>
      <c r="AD215" s="288" t="str">
        <f t="shared" si="216"/>
        <v/>
      </c>
      <c r="AE215" s="288" t="str">
        <f t="shared" si="217"/>
        <v/>
      </c>
      <c r="AF215" s="288" t="str">
        <f t="shared" si="218"/>
        <v/>
      </c>
      <c r="AG215" s="288" t="str">
        <f t="shared" si="219"/>
        <v/>
      </c>
      <c r="AH215" s="288" t="str">
        <f t="shared" si="220"/>
        <v/>
      </c>
      <c r="AI215" s="36">
        <f t="shared" si="221"/>
        <v>-1</v>
      </c>
      <c r="AJ215" s="36">
        <f t="shared" si="222"/>
        <v>-1</v>
      </c>
      <c r="AK215" s="36">
        <f t="shared" si="223"/>
        <v>-1</v>
      </c>
      <c r="AL215" s="36"/>
      <c r="AM215" s="36" t="str">
        <f t="shared" si="244"/>
        <v/>
      </c>
      <c r="AN215" s="288" t="str">
        <f t="shared" si="224"/>
        <v/>
      </c>
      <c r="AO215" s="288" t="str">
        <f t="shared" si="225"/>
        <v/>
      </c>
      <c r="AP215" s="288" t="str">
        <f t="shared" si="226"/>
        <v/>
      </c>
      <c r="AQ215" s="36">
        <f t="shared" ref="AQ215:AS215" si="265">AQ214</f>
        <v>3.3793103448275866E-2</v>
      </c>
      <c r="AR215" s="36">
        <f t="shared" si="265"/>
        <v>5.9329425287356324E-2</v>
      </c>
      <c r="AS215" s="36">
        <f t="shared" si="265"/>
        <v>8.4865747126436797E-2</v>
      </c>
      <c r="AT215" s="288">
        <f t="shared" si="228"/>
        <v>0.11040206896551726</v>
      </c>
    </row>
    <row r="216" spans="2:46">
      <c r="B216" s="287"/>
      <c r="C216" s="707"/>
      <c r="D216" s="707"/>
      <c r="E216" s="707"/>
      <c r="F216" s="707"/>
      <c r="G216" s="707"/>
      <c r="H216" s="707"/>
      <c r="I216" s="707"/>
      <c r="J216" s="707"/>
      <c r="K216" s="707"/>
      <c r="L216" s="707"/>
      <c r="M216" s="707"/>
      <c r="N216" s="707"/>
      <c r="O216" s="707"/>
      <c r="P216" s="707"/>
      <c r="Q216" s="707"/>
      <c r="R216" s="707"/>
      <c r="S216" s="707"/>
      <c r="T216" s="707"/>
      <c r="U216" s="707"/>
      <c r="V216" s="707"/>
      <c r="W216" s="707"/>
      <c r="X216" s="707"/>
      <c r="Y216" s="707"/>
      <c r="Z216" s="707"/>
      <c r="AA216" s="36" t="str">
        <f t="shared" si="242"/>
        <v/>
      </c>
      <c r="AB216" s="288" t="str">
        <f t="shared" si="214"/>
        <v/>
      </c>
      <c r="AC216" s="288" t="str">
        <f t="shared" si="215"/>
        <v/>
      </c>
      <c r="AD216" s="288" t="str">
        <f t="shared" si="216"/>
        <v/>
      </c>
      <c r="AE216" s="288" t="str">
        <f t="shared" si="217"/>
        <v/>
      </c>
      <c r="AF216" s="288" t="str">
        <f t="shared" si="218"/>
        <v/>
      </c>
      <c r="AG216" s="288" t="str">
        <f t="shared" si="219"/>
        <v/>
      </c>
      <c r="AH216" s="288" t="str">
        <f t="shared" si="220"/>
        <v/>
      </c>
      <c r="AI216" s="36">
        <f t="shared" si="221"/>
        <v>-1</v>
      </c>
      <c r="AJ216" s="36">
        <f t="shared" si="222"/>
        <v>-1</v>
      </c>
      <c r="AK216" s="36">
        <f t="shared" si="223"/>
        <v>-1</v>
      </c>
      <c r="AL216" s="36"/>
      <c r="AM216" s="36" t="str">
        <f t="shared" si="244"/>
        <v/>
      </c>
      <c r="AN216" s="288" t="str">
        <f t="shared" si="224"/>
        <v/>
      </c>
      <c r="AO216" s="288" t="str">
        <f t="shared" si="225"/>
        <v/>
      </c>
      <c r="AP216" s="288" t="str">
        <f t="shared" si="226"/>
        <v/>
      </c>
      <c r="AQ216" s="36">
        <f t="shared" ref="AQ216:AS216" si="266">AQ215</f>
        <v>3.3793103448275866E-2</v>
      </c>
      <c r="AR216" s="36">
        <f t="shared" si="266"/>
        <v>5.9329425287356324E-2</v>
      </c>
      <c r="AS216" s="36">
        <f t="shared" si="266"/>
        <v>8.4865747126436797E-2</v>
      </c>
      <c r="AT216" s="288">
        <f t="shared" si="228"/>
        <v>0.11040206896551726</v>
      </c>
    </row>
    <row r="217" spans="2:46">
      <c r="B217" s="287"/>
      <c r="C217" s="707"/>
      <c r="D217" s="707"/>
      <c r="E217" s="707"/>
      <c r="F217" s="707"/>
      <c r="G217" s="707"/>
      <c r="H217" s="707"/>
      <c r="I217" s="707"/>
      <c r="J217" s="707"/>
      <c r="K217" s="707"/>
      <c r="L217" s="707"/>
      <c r="M217" s="707"/>
      <c r="N217" s="707"/>
      <c r="O217" s="707"/>
      <c r="P217" s="707"/>
      <c r="Q217" s="707"/>
      <c r="R217" s="707"/>
      <c r="S217" s="707"/>
      <c r="T217" s="707"/>
      <c r="U217" s="707"/>
      <c r="V217" s="707"/>
      <c r="W217" s="707"/>
      <c r="X217" s="707"/>
      <c r="Y217" s="707"/>
      <c r="Z217" s="707"/>
      <c r="AA217" s="36" t="str">
        <f t="shared" si="242"/>
        <v/>
      </c>
      <c r="AB217" s="288" t="str">
        <f t="shared" si="214"/>
        <v/>
      </c>
      <c r="AC217" s="288" t="str">
        <f t="shared" si="215"/>
        <v/>
      </c>
      <c r="AD217" s="288" t="str">
        <f t="shared" si="216"/>
        <v/>
      </c>
      <c r="AE217" s="288" t="str">
        <f t="shared" si="217"/>
        <v/>
      </c>
      <c r="AF217" s="288" t="str">
        <f t="shared" si="218"/>
        <v/>
      </c>
      <c r="AG217" s="288" t="str">
        <f t="shared" si="219"/>
        <v/>
      </c>
      <c r="AH217" s="288" t="str">
        <f t="shared" si="220"/>
        <v/>
      </c>
      <c r="AI217" s="36">
        <f t="shared" si="221"/>
        <v>-1</v>
      </c>
      <c r="AJ217" s="36">
        <f t="shared" si="222"/>
        <v>-1</v>
      </c>
      <c r="AK217" s="36">
        <f t="shared" si="223"/>
        <v>-1</v>
      </c>
      <c r="AL217" s="36"/>
      <c r="AM217" s="36" t="str">
        <f t="shared" si="244"/>
        <v/>
      </c>
      <c r="AN217" s="288" t="str">
        <f t="shared" si="224"/>
        <v/>
      </c>
      <c r="AO217" s="288" t="str">
        <f t="shared" si="225"/>
        <v/>
      </c>
      <c r="AP217" s="288" t="str">
        <f t="shared" si="226"/>
        <v/>
      </c>
      <c r="AQ217" s="36">
        <f t="shared" ref="AQ217:AS217" si="267">AQ216</f>
        <v>3.3793103448275866E-2</v>
      </c>
      <c r="AR217" s="36">
        <f t="shared" si="267"/>
        <v>5.9329425287356324E-2</v>
      </c>
      <c r="AS217" s="36">
        <f t="shared" si="267"/>
        <v>8.4865747126436797E-2</v>
      </c>
      <c r="AT217" s="288">
        <f t="shared" si="228"/>
        <v>0.11040206896551726</v>
      </c>
    </row>
    <row r="218" spans="2:46">
      <c r="B218" s="287"/>
      <c r="C218" s="707"/>
      <c r="D218" s="707"/>
      <c r="E218" s="707"/>
      <c r="F218" s="707"/>
      <c r="G218" s="707"/>
      <c r="H218" s="707"/>
      <c r="I218" s="707"/>
      <c r="J218" s="707"/>
      <c r="K218" s="707"/>
      <c r="L218" s="707"/>
      <c r="M218" s="707"/>
      <c r="N218" s="707"/>
      <c r="O218" s="707"/>
      <c r="P218" s="707"/>
      <c r="Q218" s="707"/>
      <c r="R218" s="707"/>
      <c r="S218" s="707"/>
      <c r="T218" s="707"/>
      <c r="U218" s="707"/>
      <c r="V218" s="707"/>
      <c r="W218" s="707"/>
      <c r="X218" s="707"/>
      <c r="Y218" s="707"/>
      <c r="Z218" s="707"/>
      <c r="AA218" s="36" t="str">
        <f t="shared" si="242"/>
        <v/>
      </c>
      <c r="AB218" s="288" t="str">
        <f t="shared" si="214"/>
        <v/>
      </c>
      <c r="AC218" s="288" t="str">
        <f t="shared" si="215"/>
        <v/>
      </c>
      <c r="AD218" s="288" t="str">
        <f t="shared" si="216"/>
        <v/>
      </c>
      <c r="AE218" s="288" t="str">
        <f t="shared" si="217"/>
        <v/>
      </c>
      <c r="AF218" s="288" t="str">
        <f t="shared" si="218"/>
        <v/>
      </c>
      <c r="AG218" s="288" t="str">
        <f t="shared" si="219"/>
        <v/>
      </c>
      <c r="AH218" s="288" t="str">
        <f t="shared" si="220"/>
        <v/>
      </c>
      <c r="AI218" s="36">
        <f t="shared" si="221"/>
        <v>-1</v>
      </c>
      <c r="AJ218" s="36">
        <f t="shared" si="222"/>
        <v>-1</v>
      </c>
      <c r="AK218" s="36">
        <f t="shared" si="223"/>
        <v>-1</v>
      </c>
      <c r="AL218" s="36"/>
      <c r="AM218" s="36" t="str">
        <f t="shared" si="244"/>
        <v/>
      </c>
      <c r="AN218" s="288" t="str">
        <f t="shared" si="224"/>
        <v/>
      </c>
      <c r="AO218" s="288" t="str">
        <f t="shared" si="225"/>
        <v/>
      </c>
      <c r="AP218" s="288" t="str">
        <f t="shared" si="226"/>
        <v/>
      </c>
      <c r="AQ218" s="36">
        <f t="shared" ref="AQ218:AS218" si="268">AQ217</f>
        <v>3.3793103448275866E-2</v>
      </c>
      <c r="AR218" s="36">
        <f t="shared" si="268"/>
        <v>5.9329425287356324E-2</v>
      </c>
      <c r="AS218" s="36">
        <f t="shared" si="268"/>
        <v>8.4865747126436797E-2</v>
      </c>
      <c r="AT218" s="288">
        <f t="shared" si="228"/>
        <v>0.11040206896551726</v>
      </c>
    </row>
    <row r="219" spans="2:46">
      <c r="B219" s="287"/>
      <c r="C219" s="707"/>
      <c r="D219" s="707"/>
      <c r="E219" s="707"/>
      <c r="F219" s="707"/>
      <c r="G219" s="707"/>
      <c r="H219" s="707"/>
      <c r="I219" s="707"/>
      <c r="J219" s="707"/>
      <c r="K219" s="707"/>
      <c r="L219" s="707"/>
      <c r="M219" s="707"/>
      <c r="N219" s="707"/>
      <c r="O219" s="707"/>
      <c r="P219" s="707"/>
      <c r="Q219" s="707"/>
      <c r="R219" s="707"/>
      <c r="S219" s="707"/>
      <c r="T219" s="707"/>
      <c r="U219" s="707"/>
      <c r="V219" s="707"/>
      <c r="W219" s="707"/>
      <c r="X219" s="707"/>
      <c r="Y219" s="707"/>
      <c r="Z219" s="707"/>
      <c r="AA219" s="36" t="str">
        <f t="shared" si="242"/>
        <v/>
      </c>
      <c r="AB219" s="288" t="str">
        <f t="shared" si="214"/>
        <v/>
      </c>
      <c r="AC219" s="288" t="str">
        <f t="shared" si="215"/>
        <v/>
      </c>
      <c r="AD219" s="288" t="str">
        <f t="shared" si="216"/>
        <v/>
      </c>
      <c r="AE219" s="288" t="str">
        <f t="shared" si="217"/>
        <v/>
      </c>
      <c r="AF219" s="288" t="str">
        <f t="shared" si="218"/>
        <v/>
      </c>
      <c r="AG219" s="288" t="str">
        <f t="shared" si="219"/>
        <v/>
      </c>
      <c r="AH219" s="288" t="str">
        <f t="shared" si="220"/>
        <v/>
      </c>
      <c r="AI219" s="36">
        <f t="shared" si="221"/>
        <v>-1</v>
      </c>
      <c r="AJ219" s="36">
        <f t="shared" si="222"/>
        <v>-1</v>
      </c>
      <c r="AK219" s="36">
        <f t="shared" si="223"/>
        <v>-1</v>
      </c>
      <c r="AL219" s="36"/>
      <c r="AM219" s="36" t="str">
        <f t="shared" si="244"/>
        <v/>
      </c>
      <c r="AN219" s="288" t="str">
        <f t="shared" si="224"/>
        <v/>
      </c>
      <c r="AO219" s="288" t="str">
        <f t="shared" si="225"/>
        <v/>
      </c>
      <c r="AP219" s="288" t="str">
        <f t="shared" si="226"/>
        <v/>
      </c>
      <c r="AQ219" s="36">
        <f t="shared" ref="AQ219:AS219" si="269">AQ218</f>
        <v>3.3793103448275866E-2</v>
      </c>
      <c r="AR219" s="36">
        <f t="shared" si="269"/>
        <v>5.9329425287356324E-2</v>
      </c>
      <c r="AS219" s="36">
        <f t="shared" si="269"/>
        <v>8.4865747126436797E-2</v>
      </c>
      <c r="AT219" s="288">
        <f t="shared" si="228"/>
        <v>0.11040206896551726</v>
      </c>
    </row>
    <row r="220" spans="2:46">
      <c r="B220" s="287"/>
      <c r="C220" s="707"/>
      <c r="D220" s="707"/>
      <c r="E220" s="707"/>
      <c r="F220" s="707"/>
      <c r="G220" s="707"/>
      <c r="H220" s="707"/>
      <c r="I220" s="707"/>
      <c r="J220" s="707"/>
      <c r="K220" s="707"/>
      <c r="L220" s="707"/>
      <c r="M220" s="707"/>
      <c r="N220" s="707"/>
      <c r="O220" s="707"/>
      <c r="P220" s="707"/>
      <c r="Q220" s="707"/>
      <c r="R220" s="707"/>
      <c r="S220" s="707"/>
      <c r="T220" s="707"/>
      <c r="U220" s="707"/>
      <c r="V220" s="707"/>
      <c r="W220" s="707"/>
      <c r="X220" s="707"/>
      <c r="Y220" s="707"/>
      <c r="Z220" s="707"/>
      <c r="AA220" s="36" t="str">
        <f t="shared" si="242"/>
        <v/>
      </c>
      <c r="AB220" s="288" t="str">
        <f t="shared" si="214"/>
        <v/>
      </c>
      <c r="AC220" s="288" t="str">
        <f t="shared" si="215"/>
        <v/>
      </c>
      <c r="AD220" s="288" t="str">
        <f t="shared" si="216"/>
        <v/>
      </c>
      <c r="AE220" s="288" t="str">
        <f t="shared" si="217"/>
        <v/>
      </c>
      <c r="AF220" s="288" t="str">
        <f t="shared" si="218"/>
        <v/>
      </c>
      <c r="AG220" s="288" t="str">
        <f t="shared" si="219"/>
        <v/>
      </c>
      <c r="AH220" s="288" t="str">
        <f t="shared" si="220"/>
        <v/>
      </c>
      <c r="AI220" s="36">
        <f t="shared" si="221"/>
        <v>-1</v>
      </c>
      <c r="AJ220" s="36">
        <f t="shared" si="222"/>
        <v>-1</v>
      </c>
      <c r="AK220" s="36">
        <f t="shared" si="223"/>
        <v>-1</v>
      </c>
      <c r="AL220" s="36"/>
      <c r="AM220" s="36" t="str">
        <f t="shared" si="244"/>
        <v/>
      </c>
      <c r="AN220" s="288" t="str">
        <f t="shared" si="224"/>
        <v/>
      </c>
      <c r="AO220" s="288" t="str">
        <f t="shared" si="225"/>
        <v/>
      </c>
      <c r="AP220" s="288" t="str">
        <f t="shared" si="226"/>
        <v/>
      </c>
      <c r="AQ220" s="36">
        <f t="shared" ref="AQ220:AS220" si="270">AQ219</f>
        <v>3.3793103448275866E-2</v>
      </c>
      <c r="AR220" s="36">
        <f t="shared" si="270"/>
        <v>5.9329425287356324E-2</v>
      </c>
      <c r="AS220" s="36">
        <f t="shared" si="270"/>
        <v>8.4865747126436797E-2</v>
      </c>
      <c r="AT220" s="288">
        <f t="shared" si="228"/>
        <v>0.11040206896551726</v>
      </c>
    </row>
    <row r="221" spans="2:46">
      <c r="B221" s="287"/>
      <c r="C221" s="707"/>
      <c r="D221" s="707"/>
      <c r="E221" s="707"/>
      <c r="F221" s="707"/>
      <c r="G221" s="707"/>
      <c r="H221" s="707"/>
      <c r="I221" s="707"/>
      <c r="J221" s="707"/>
      <c r="K221" s="707"/>
      <c r="L221" s="707"/>
      <c r="M221" s="707"/>
      <c r="N221" s="707"/>
      <c r="O221" s="707"/>
      <c r="P221" s="707"/>
      <c r="Q221" s="707"/>
      <c r="R221" s="707"/>
      <c r="S221" s="707"/>
      <c r="T221" s="707"/>
      <c r="U221" s="707"/>
      <c r="V221" s="707"/>
      <c r="W221" s="707"/>
      <c r="X221" s="707"/>
      <c r="Y221" s="707"/>
      <c r="Z221" s="707"/>
      <c r="AA221" s="36" t="str">
        <f t="shared" si="242"/>
        <v/>
      </c>
      <c r="AB221" s="288" t="str">
        <f t="shared" si="214"/>
        <v/>
      </c>
      <c r="AC221" s="288" t="str">
        <f t="shared" si="215"/>
        <v/>
      </c>
      <c r="AD221" s="288" t="str">
        <f t="shared" si="216"/>
        <v/>
      </c>
      <c r="AE221" s="288" t="str">
        <f t="shared" si="217"/>
        <v/>
      </c>
      <c r="AF221" s="288" t="str">
        <f t="shared" si="218"/>
        <v/>
      </c>
      <c r="AG221" s="288" t="str">
        <f t="shared" si="219"/>
        <v/>
      </c>
      <c r="AH221" s="288" t="str">
        <f t="shared" si="220"/>
        <v/>
      </c>
      <c r="AI221" s="36">
        <f t="shared" si="221"/>
        <v>-1</v>
      </c>
      <c r="AJ221" s="36">
        <f t="shared" si="222"/>
        <v>-1</v>
      </c>
      <c r="AK221" s="36">
        <f t="shared" si="223"/>
        <v>-1</v>
      </c>
      <c r="AL221" s="36"/>
      <c r="AM221" s="36" t="str">
        <f t="shared" si="244"/>
        <v/>
      </c>
      <c r="AN221" s="288" t="str">
        <f t="shared" si="224"/>
        <v/>
      </c>
      <c r="AO221" s="288" t="str">
        <f t="shared" si="225"/>
        <v/>
      </c>
      <c r="AP221" s="288" t="str">
        <f t="shared" si="226"/>
        <v/>
      </c>
      <c r="AQ221" s="36">
        <f t="shared" ref="AQ221:AS221" si="271">AQ220</f>
        <v>3.3793103448275866E-2</v>
      </c>
      <c r="AR221" s="36">
        <f t="shared" si="271"/>
        <v>5.9329425287356324E-2</v>
      </c>
      <c r="AS221" s="36">
        <f t="shared" si="271"/>
        <v>8.4865747126436797E-2</v>
      </c>
      <c r="AT221" s="288">
        <f t="shared" si="228"/>
        <v>0.11040206896551726</v>
      </c>
    </row>
    <row r="222" spans="2:46">
      <c r="B222" s="287"/>
      <c r="C222" s="707"/>
      <c r="D222" s="707"/>
      <c r="E222" s="707"/>
      <c r="F222" s="707"/>
      <c r="G222" s="707"/>
      <c r="H222" s="707"/>
      <c r="I222" s="707"/>
      <c r="J222" s="707"/>
      <c r="K222" s="707"/>
      <c r="L222" s="707"/>
      <c r="M222" s="707"/>
      <c r="N222" s="707"/>
      <c r="O222" s="707"/>
      <c r="P222" s="707"/>
      <c r="Q222" s="707"/>
      <c r="R222" s="707"/>
      <c r="S222" s="707"/>
      <c r="T222" s="707"/>
      <c r="U222" s="707"/>
      <c r="V222" s="707"/>
      <c r="W222" s="707"/>
      <c r="X222" s="707"/>
      <c r="Y222" s="707"/>
      <c r="Z222" s="707"/>
      <c r="AA222" s="36" t="str">
        <f t="shared" si="242"/>
        <v/>
      </c>
      <c r="AB222" s="288" t="str">
        <f t="shared" si="214"/>
        <v/>
      </c>
      <c r="AC222" s="288" t="str">
        <f t="shared" si="215"/>
        <v/>
      </c>
      <c r="AD222" s="288" t="str">
        <f t="shared" si="216"/>
        <v/>
      </c>
      <c r="AE222" s="288" t="str">
        <f t="shared" si="217"/>
        <v/>
      </c>
      <c r="AF222" s="288" t="str">
        <f t="shared" si="218"/>
        <v/>
      </c>
      <c r="AG222" s="288" t="str">
        <f t="shared" si="219"/>
        <v/>
      </c>
      <c r="AH222" s="288" t="str">
        <f t="shared" si="220"/>
        <v/>
      </c>
      <c r="AI222" s="36">
        <f t="shared" si="221"/>
        <v>-1</v>
      </c>
      <c r="AJ222" s="36">
        <f t="shared" si="222"/>
        <v>-1</v>
      </c>
      <c r="AK222" s="36">
        <f t="shared" si="223"/>
        <v>-1</v>
      </c>
      <c r="AL222" s="36"/>
      <c r="AM222" s="36" t="str">
        <f t="shared" si="244"/>
        <v/>
      </c>
      <c r="AN222" s="288" t="str">
        <f t="shared" si="224"/>
        <v/>
      </c>
      <c r="AO222" s="288" t="str">
        <f t="shared" si="225"/>
        <v/>
      </c>
      <c r="AP222" s="288" t="str">
        <f t="shared" si="226"/>
        <v/>
      </c>
      <c r="AQ222" s="36">
        <f t="shared" ref="AQ222:AS222" si="272">AQ221</f>
        <v>3.3793103448275866E-2</v>
      </c>
      <c r="AR222" s="36">
        <f t="shared" si="272"/>
        <v>5.9329425287356324E-2</v>
      </c>
      <c r="AS222" s="36">
        <f t="shared" si="272"/>
        <v>8.4865747126436797E-2</v>
      </c>
      <c r="AT222" s="288">
        <f t="shared" si="228"/>
        <v>0.11040206896551726</v>
      </c>
    </row>
    <row r="223" spans="2:46">
      <c r="B223" s="287"/>
      <c r="C223" s="707"/>
      <c r="D223" s="707"/>
      <c r="E223" s="707"/>
      <c r="F223" s="707"/>
      <c r="G223" s="707"/>
      <c r="H223" s="707"/>
      <c r="I223" s="707"/>
      <c r="J223" s="707"/>
      <c r="K223" s="707"/>
      <c r="L223" s="707"/>
      <c r="M223" s="707"/>
      <c r="N223" s="707"/>
      <c r="O223" s="707"/>
      <c r="P223" s="707"/>
      <c r="Q223" s="707"/>
      <c r="R223" s="707"/>
      <c r="S223" s="707"/>
      <c r="T223" s="707"/>
      <c r="U223" s="707"/>
      <c r="V223" s="707"/>
      <c r="W223" s="707"/>
      <c r="X223" s="707"/>
      <c r="Y223" s="707"/>
      <c r="Z223" s="707"/>
      <c r="AA223" s="36" t="str">
        <f t="shared" si="242"/>
        <v/>
      </c>
      <c r="AB223" s="288" t="str">
        <f t="shared" si="214"/>
        <v/>
      </c>
      <c r="AC223" s="288" t="str">
        <f t="shared" si="215"/>
        <v/>
      </c>
      <c r="AD223" s="288" t="str">
        <f t="shared" si="216"/>
        <v/>
      </c>
      <c r="AE223" s="288" t="str">
        <f t="shared" si="217"/>
        <v/>
      </c>
      <c r="AF223" s="288" t="str">
        <f t="shared" si="218"/>
        <v/>
      </c>
      <c r="AG223" s="288" t="str">
        <f t="shared" si="219"/>
        <v/>
      </c>
      <c r="AH223" s="288" t="str">
        <f t="shared" si="220"/>
        <v/>
      </c>
      <c r="AI223" s="36">
        <f t="shared" si="221"/>
        <v>-1</v>
      </c>
      <c r="AJ223" s="36">
        <f t="shared" si="222"/>
        <v>-1</v>
      </c>
      <c r="AK223" s="36">
        <f t="shared" si="223"/>
        <v>-1</v>
      </c>
      <c r="AL223" s="36"/>
      <c r="AM223" s="36" t="str">
        <f t="shared" si="244"/>
        <v/>
      </c>
      <c r="AN223" s="288" t="str">
        <f t="shared" si="224"/>
        <v/>
      </c>
      <c r="AO223" s="288" t="str">
        <f t="shared" si="225"/>
        <v/>
      </c>
      <c r="AP223" s="288" t="str">
        <f t="shared" si="226"/>
        <v/>
      </c>
      <c r="AQ223" s="36">
        <f t="shared" ref="AQ223:AS223" si="273">AQ222</f>
        <v>3.3793103448275866E-2</v>
      </c>
      <c r="AR223" s="36">
        <f t="shared" si="273"/>
        <v>5.9329425287356324E-2</v>
      </c>
      <c r="AS223" s="36">
        <f t="shared" si="273"/>
        <v>8.4865747126436797E-2</v>
      </c>
      <c r="AT223" s="288">
        <f t="shared" si="228"/>
        <v>0.11040206896551726</v>
      </c>
    </row>
    <row r="224" spans="2:46">
      <c r="B224" s="287"/>
      <c r="C224" s="707"/>
      <c r="D224" s="707"/>
      <c r="E224" s="707"/>
      <c r="F224" s="707"/>
      <c r="G224" s="707"/>
      <c r="H224" s="707"/>
      <c r="I224" s="707"/>
      <c r="J224" s="707"/>
      <c r="K224" s="707"/>
      <c r="L224" s="707"/>
      <c r="M224" s="707"/>
      <c r="N224" s="707"/>
      <c r="O224" s="707"/>
      <c r="P224" s="707"/>
      <c r="Q224" s="707"/>
      <c r="R224" s="707"/>
      <c r="S224" s="707"/>
      <c r="T224" s="707"/>
      <c r="U224" s="707"/>
      <c r="V224" s="707"/>
      <c r="W224" s="707"/>
      <c r="X224" s="707"/>
      <c r="Y224" s="707"/>
      <c r="Z224" s="707"/>
      <c r="AA224" s="36" t="str">
        <f t="shared" si="242"/>
        <v/>
      </c>
      <c r="AB224" s="288" t="str">
        <f t="shared" si="214"/>
        <v/>
      </c>
      <c r="AC224" s="288" t="str">
        <f t="shared" si="215"/>
        <v/>
      </c>
      <c r="AD224" s="288" t="str">
        <f t="shared" si="216"/>
        <v/>
      </c>
      <c r="AE224" s="288" t="str">
        <f t="shared" si="217"/>
        <v/>
      </c>
      <c r="AF224" s="288" t="str">
        <f t="shared" si="218"/>
        <v/>
      </c>
      <c r="AG224" s="288" t="str">
        <f t="shared" si="219"/>
        <v/>
      </c>
      <c r="AH224" s="288" t="str">
        <f t="shared" si="220"/>
        <v/>
      </c>
      <c r="AI224" s="36">
        <f t="shared" si="221"/>
        <v>-1</v>
      </c>
      <c r="AJ224" s="36">
        <f t="shared" si="222"/>
        <v>-1</v>
      </c>
      <c r="AK224" s="36">
        <f t="shared" si="223"/>
        <v>-1</v>
      </c>
      <c r="AL224" s="36"/>
      <c r="AM224" s="36" t="str">
        <f t="shared" si="244"/>
        <v/>
      </c>
      <c r="AN224" s="288" t="str">
        <f t="shared" si="224"/>
        <v/>
      </c>
      <c r="AO224" s="288" t="str">
        <f t="shared" si="225"/>
        <v/>
      </c>
      <c r="AP224" s="288" t="str">
        <f t="shared" si="226"/>
        <v/>
      </c>
      <c r="AQ224" s="36">
        <f t="shared" ref="AQ224:AS224" si="274">AQ223</f>
        <v>3.3793103448275866E-2</v>
      </c>
      <c r="AR224" s="36">
        <f t="shared" si="274"/>
        <v>5.9329425287356324E-2</v>
      </c>
      <c r="AS224" s="36">
        <f t="shared" si="274"/>
        <v>8.4865747126436797E-2</v>
      </c>
      <c r="AT224" s="288">
        <f t="shared" si="228"/>
        <v>0.11040206896551726</v>
      </c>
    </row>
    <row r="225" spans="2:46">
      <c r="B225" s="287"/>
      <c r="C225" s="707"/>
      <c r="D225" s="707"/>
      <c r="E225" s="707"/>
      <c r="F225" s="707"/>
      <c r="G225" s="707"/>
      <c r="H225" s="707"/>
      <c r="I225" s="707"/>
      <c r="J225" s="707"/>
      <c r="K225" s="707"/>
      <c r="L225" s="707"/>
      <c r="M225" s="707"/>
      <c r="N225" s="707"/>
      <c r="O225" s="707"/>
      <c r="P225" s="707"/>
      <c r="Q225" s="707"/>
      <c r="R225" s="707"/>
      <c r="S225" s="707"/>
      <c r="T225" s="707"/>
      <c r="U225" s="707"/>
      <c r="V225" s="707"/>
      <c r="W225" s="707"/>
      <c r="X225" s="707"/>
      <c r="Y225" s="707"/>
      <c r="Z225" s="707"/>
      <c r="AA225" s="36" t="str">
        <f t="shared" si="242"/>
        <v/>
      </c>
      <c r="AB225" s="288" t="str">
        <f t="shared" si="214"/>
        <v/>
      </c>
      <c r="AC225" s="288" t="str">
        <f t="shared" si="215"/>
        <v/>
      </c>
      <c r="AD225" s="288" t="str">
        <f t="shared" si="216"/>
        <v/>
      </c>
      <c r="AE225" s="288" t="str">
        <f t="shared" si="217"/>
        <v/>
      </c>
      <c r="AF225" s="288" t="str">
        <f t="shared" si="218"/>
        <v/>
      </c>
      <c r="AG225" s="288" t="str">
        <f t="shared" si="219"/>
        <v/>
      </c>
      <c r="AH225" s="288" t="str">
        <f t="shared" si="220"/>
        <v/>
      </c>
      <c r="AI225" s="36">
        <f t="shared" si="221"/>
        <v>-1</v>
      </c>
      <c r="AJ225" s="36">
        <f t="shared" si="222"/>
        <v>-1</v>
      </c>
      <c r="AK225" s="36">
        <f t="shared" si="223"/>
        <v>-1</v>
      </c>
      <c r="AL225" s="36"/>
      <c r="AM225" s="36" t="str">
        <f t="shared" si="244"/>
        <v/>
      </c>
      <c r="AN225" s="288" t="str">
        <f t="shared" si="224"/>
        <v/>
      </c>
      <c r="AO225" s="288" t="str">
        <f t="shared" si="225"/>
        <v/>
      </c>
      <c r="AP225" s="288" t="str">
        <f t="shared" si="226"/>
        <v/>
      </c>
      <c r="AQ225" s="36">
        <f t="shared" ref="AQ225:AS225" si="275">AQ224</f>
        <v>3.3793103448275866E-2</v>
      </c>
      <c r="AR225" s="36">
        <f t="shared" si="275"/>
        <v>5.9329425287356324E-2</v>
      </c>
      <c r="AS225" s="36">
        <f t="shared" si="275"/>
        <v>8.4865747126436797E-2</v>
      </c>
      <c r="AT225" s="288">
        <f t="shared" si="228"/>
        <v>0.11040206896551726</v>
      </c>
    </row>
    <row r="226" spans="2:46">
      <c r="B226" s="287"/>
      <c r="C226" s="707"/>
      <c r="D226" s="707"/>
      <c r="E226" s="707"/>
      <c r="F226" s="707"/>
      <c r="G226" s="707"/>
      <c r="H226" s="707"/>
      <c r="I226" s="707"/>
      <c r="J226" s="707"/>
      <c r="K226" s="707"/>
      <c r="L226" s="707"/>
      <c r="M226" s="707"/>
      <c r="N226" s="707"/>
      <c r="O226" s="707"/>
      <c r="P226" s="707"/>
      <c r="Q226" s="707"/>
      <c r="R226" s="707"/>
      <c r="S226" s="707"/>
      <c r="T226" s="707"/>
      <c r="U226" s="707"/>
      <c r="V226" s="707"/>
      <c r="W226" s="707"/>
      <c r="X226" s="707"/>
      <c r="Y226" s="707"/>
      <c r="Z226" s="707"/>
      <c r="AA226" s="36" t="str">
        <f t="shared" si="242"/>
        <v/>
      </c>
      <c r="AB226" s="288" t="str">
        <f t="shared" si="214"/>
        <v/>
      </c>
      <c r="AC226" s="288" t="str">
        <f t="shared" si="215"/>
        <v/>
      </c>
      <c r="AD226" s="288" t="str">
        <f t="shared" si="216"/>
        <v/>
      </c>
      <c r="AE226" s="288" t="str">
        <f t="shared" si="217"/>
        <v/>
      </c>
      <c r="AF226" s="288" t="str">
        <f t="shared" si="218"/>
        <v/>
      </c>
      <c r="AG226" s="288" t="str">
        <f t="shared" si="219"/>
        <v/>
      </c>
      <c r="AH226" s="288" t="str">
        <f t="shared" si="220"/>
        <v/>
      </c>
      <c r="AI226" s="36">
        <f t="shared" si="221"/>
        <v>-1</v>
      </c>
      <c r="AJ226" s="36">
        <f t="shared" si="222"/>
        <v>-1</v>
      </c>
      <c r="AK226" s="36">
        <f t="shared" si="223"/>
        <v>-1</v>
      </c>
      <c r="AL226" s="36"/>
      <c r="AM226" s="36" t="str">
        <f t="shared" si="244"/>
        <v/>
      </c>
      <c r="AN226" s="288" t="str">
        <f t="shared" si="224"/>
        <v/>
      </c>
      <c r="AO226" s="288" t="str">
        <f t="shared" si="225"/>
        <v/>
      </c>
      <c r="AP226" s="288" t="str">
        <f t="shared" si="226"/>
        <v/>
      </c>
      <c r="AQ226" s="36">
        <f t="shared" ref="AQ226:AS226" si="276">AQ225</f>
        <v>3.3793103448275866E-2</v>
      </c>
      <c r="AR226" s="36">
        <f t="shared" si="276"/>
        <v>5.9329425287356324E-2</v>
      </c>
      <c r="AS226" s="36">
        <f t="shared" si="276"/>
        <v>8.4865747126436797E-2</v>
      </c>
      <c r="AT226" s="288">
        <f t="shared" si="228"/>
        <v>0.11040206896551726</v>
      </c>
    </row>
    <row r="227" spans="2:46">
      <c r="B227" s="287"/>
      <c r="C227" s="707"/>
      <c r="D227" s="707"/>
      <c r="E227" s="707"/>
      <c r="F227" s="707"/>
      <c r="G227" s="707"/>
      <c r="H227" s="707"/>
      <c r="I227" s="707"/>
      <c r="J227" s="707"/>
      <c r="K227" s="707"/>
      <c r="L227" s="707"/>
      <c r="M227" s="707"/>
      <c r="N227" s="707"/>
      <c r="O227" s="707"/>
      <c r="P227" s="707"/>
      <c r="Q227" s="707"/>
      <c r="R227" s="707"/>
      <c r="S227" s="707"/>
      <c r="T227" s="707"/>
      <c r="U227" s="707"/>
      <c r="V227" s="707"/>
      <c r="W227" s="707"/>
      <c r="X227" s="707"/>
      <c r="Y227" s="707"/>
      <c r="Z227" s="707"/>
      <c r="AA227" s="36" t="str">
        <f t="shared" si="242"/>
        <v/>
      </c>
      <c r="AB227" s="288" t="str">
        <f t="shared" si="214"/>
        <v/>
      </c>
      <c r="AC227" s="288" t="str">
        <f t="shared" si="215"/>
        <v/>
      </c>
      <c r="AD227" s="288" t="str">
        <f t="shared" si="216"/>
        <v/>
      </c>
      <c r="AE227" s="288" t="str">
        <f t="shared" si="217"/>
        <v/>
      </c>
      <c r="AF227" s="288" t="str">
        <f t="shared" si="218"/>
        <v/>
      </c>
      <c r="AG227" s="288" t="str">
        <f t="shared" si="219"/>
        <v/>
      </c>
      <c r="AH227" s="288" t="str">
        <f t="shared" si="220"/>
        <v/>
      </c>
      <c r="AI227" s="36">
        <f t="shared" si="221"/>
        <v>-1</v>
      </c>
      <c r="AJ227" s="36">
        <f t="shared" si="222"/>
        <v>-1</v>
      </c>
      <c r="AK227" s="36">
        <f t="shared" si="223"/>
        <v>-1</v>
      </c>
      <c r="AL227" s="36"/>
      <c r="AM227" s="36" t="str">
        <f t="shared" si="244"/>
        <v/>
      </c>
      <c r="AN227" s="288" t="str">
        <f t="shared" si="224"/>
        <v/>
      </c>
      <c r="AO227" s="288" t="str">
        <f t="shared" si="225"/>
        <v/>
      </c>
      <c r="AP227" s="288" t="str">
        <f t="shared" si="226"/>
        <v/>
      </c>
      <c r="AQ227" s="36">
        <f t="shared" ref="AQ227:AS227" si="277">AQ226</f>
        <v>3.3793103448275866E-2</v>
      </c>
      <c r="AR227" s="36">
        <f t="shared" si="277"/>
        <v>5.9329425287356324E-2</v>
      </c>
      <c r="AS227" s="36">
        <f t="shared" si="277"/>
        <v>8.4865747126436797E-2</v>
      </c>
      <c r="AT227" s="288">
        <f t="shared" si="228"/>
        <v>0.11040206896551726</v>
      </c>
    </row>
    <row r="228" spans="2:46">
      <c r="B228" s="287"/>
      <c r="C228" s="707"/>
      <c r="D228" s="707"/>
      <c r="E228" s="707"/>
      <c r="F228" s="707"/>
      <c r="G228" s="707"/>
      <c r="H228" s="707"/>
      <c r="I228" s="707"/>
      <c r="J228" s="707"/>
      <c r="K228" s="707"/>
      <c r="L228" s="707"/>
      <c r="M228" s="707"/>
      <c r="N228" s="707"/>
      <c r="O228" s="707"/>
      <c r="P228" s="707"/>
      <c r="Q228" s="707"/>
      <c r="R228" s="707"/>
      <c r="S228" s="707"/>
      <c r="T228" s="707"/>
      <c r="U228" s="707"/>
      <c r="V228" s="707"/>
      <c r="W228" s="707"/>
      <c r="X228" s="707"/>
      <c r="Y228" s="707"/>
      <c r="Z228" s="707"/>
      <c r="AA228" s="36" t="str">
        <f t="shared" si="242"/>
        <v/>
      </c>
      <c r="AB228" s="288" t="str">
        <f t="shared" si="214"/>
        <v/>
      </c>
      <c r="AC228" s="288" t="str">
        <f t="shared" si="215"/>
        <v/>
      </c>
      <c r="AD228" s="288" t="str">
        <f t="shared" si="216"/>
        <v/>
      </c>
      <c r="AE228" s="288" t="str">
        <f t="shared" si="217"/>
        <v/>
      </c>
      <c r="AF228" s="288" t="str">
        <f t="shared" si="218"/>
        <v/>
      </c>
      <c r="AG228" s="288" t="str">
        <f t="shared" si="219"/>
        <v/>
      </c>
      <c r="AH228" s="288" t="str">
        <f t="shared" si="220"/>
        <v/>
      </c>
      <c r="AI228" s="36">
        <f t="shared" si="221"/>
        <v>-1</v>
      </c>
      <c r="AJ228" s="36">
        <f t="shared" si="222"/>
        <v>-1</v>
      </c>
      <c r="AK228" s="36">
        <f t="shared" si="223"/>
        <v>-1</v>
      </c>
      <c r="AL228" s="36"/>
      <c r="AM228" s="36" t="str">
        <f t="shared" si="244"/>
        <v/>
      </c>
      <c r="AN228" s="288" t="str">
        <f t="shared" si="224"/>
        <v/>
      </c>
      <c r="AO228" s="288" t="str">
        <f t="shared" si="225"/>
        <v/>
      </c>
      <c r="AP228" s="288" t="str">
        <f t="shared" si="226"/>
        <v/>
      </c>
      <c r="AQ228" s="36">
        <f t="shared" ref="AQ228:AS228" si="278">AQ227</f>
        <v>3.3793103448275866E-2</v>
      </c>
      <c r="AR228" s="36">
        <f t="shared" si="278"/>
        <v>5.9329425287356324E-2</v>
      </c>
      <c r="AS228" s="36">
        <f t="shared" si="278"/>
        <v>8.4865747126436797E-2</v>
      </c>
      <c r="AT228" s="288">
        <f t="shared" si="228"/>
        <v>0.11040206896551726</v>
      </c>
    </row>
    <row r="229" spans="2:46">
      <c r="B229" s="287"/>
      <c r="C229" s="707"/>
      <c r="D229" s="707"/>
      <c r="E229" s="707"/>
      <c r="F229" s="707"/>
      <c r="G229" s="707"/>
      <c r="H229" s="707"/>
      <c r="I229" s="707"/>
      <c r="J229" s="707"/>
      <c r="K229" s="707"/>
      <c r="L229" s="707"/>
      <c r="M229" s="707"/>
      <c r="N229" s="707"/>
      <c r="O229" s="707"/>
      <c r="P229" s="707"/>
      <c r="Q229" s="707"/>
      <c r="R229" s="707"/>
      <c r="S229" s="707"/>
      <c r="T229" s="707"/>
      <c r="U229" s="707"/>
      <c r="V229" s="707"/>
      <c r="W229" s="707"/>
      <c r="X229" s="707"/>
      <c r="Y229" s="707"/>
      <c r="Z229" s="707"/>
      <c r="AA229" s="36" t="str">
        <f t="shared" si="242"/>
        <v/>
      </c>
      <c r="AB229" s="288" t="str">
        <f t="shared" si="214"/>
        <v/>
      </c>
      <c r="AC229" s="288" t="str">
        <f t="shared" si="215"/>
        <v/>
      </c>
      <c r="AD229" s="288" t="str">
        <f t="shared" si="216"/>
        <v/>
      </c>
      <c r="AE229" s="288" t="str">
        <f t="shared" si="217"/>
        <v/>
      </c>
      <c r="AF229" s="288" t="str">
        <f t="shared" si="218"/>
        <v/>
      </c>
      <c r="AG229" s="288" t="str">
        <f t="shared" si="219"/>
        <v/>
      </c>
      <c r="AH229" s="288" t="str">
        <f t="shared" si="220"/>
        <v/>
      </c>
      <c r="AI229" s="36">
        <f t="shared" si="221"/>
        <v>-1</v>
      </c>
      <c r="AJ229" s="36">
        <f t="shared" si="222"/>
        <v>-1</v>
      </c>
      <c r="AK229" s="36">
        <f t="shared" si="223"/>
        <v>-1</v>
      </c>
      <c r="AL229" s="36"/>
      <c r="AM229" s="36" t="str">
        <f t="shared" si="244"/>
        <v/>
      </c>
      <c r="AN229" s="288" t="str">
        <f t="shared" si="224"/>
        <v/>
      </c>
      <c r="AO229" s="288" t="str">
        <f t="shared" si="225"/>
        <v/>
      </c>
      <c r="AP229" s="288" t="str">
        <f t="shared" si="226"/>
        <v/>
      </c>
      <c r="AQ229" s="36">
        <f t="shared" ref="AQ229:AS229" si="279">AQ228</f>
        <v>3.3793103448275866E-2</v>
      </c>
      <c r="AR229" s="36">
        <f t="shared" si="279"/>
        <v>5.9329425287356324E-2</v>
      </c>
      <c r="AS229" s="36">
        <f t="shared" si="279"/>
        <v>8.4865747126436797E-2</v>
      </c>
      <c r="AT229" s="288">
        <f t="shared" si="228"/>
        <v>0.11040206896551726</v>
      </c>
    </row>
    <row r="230" spans="2:46">
      <c r="B230" s="287"/>
      <c r="C230" s="707"/>
      <c r="D230" s="707"/>
      <c r="E230" s="707"/>
      <c r="F230" s="707"/>
      <c r="G230" s="707"/>
      <c r="H230" s="707"/>
      <c r="I230" s="707"/>
      <c r="J230" s="707"/>
      <c r="K230" s="707"/>
      <c r="L230" s="707"/>
      <c r="M230" s="707"/>
      <c r="N230" s="707"/>
      <c r="O230" s="707"/>
      <c r="P230" s="707"/>
      <c r="Q230" s="707"/>
      <c r="R230" s="707"/>
      <c r="S230" s="707"/>
      <c r="T230" s="707"/>
      <c r="U230" s="707"/>
      <c r="V230" s="707"/>
      <c r="W230" s="707"/>
      <c r="X230" s="707"/>
      <c r="Y230" s="707"/>
      <c r="Z230" s="707"/>
      <c r="AA230" s="36" t="str">
        <f t="shared" si="242"/>
        <v/>
      </c>
      <c r="AB230" s="288" t="str">
        <f t="shared" si="214"/>
        <v/>
      </c>
      <c r="AC230" s="288" t="str">
        <f t="shared" si="215"/>
        <v/>
      </c>
      <c r="AD230" s="288" t="str">
        <f t="shared" si="216"/>
        <v/>
      </c>
      <c r="AE230" s="288" t="str">
        <f t="shared" si="217"/>
        <v/>
      </c>
      <c r="AF230" s="288" t="str">
        <f t="shared" si="218"/>
        <v/>
      </c>
      <c r="AG230" s="288" t="str">
        <f t="shared" si="219"/>
        <v/>
      </c>
      <c r="AH230" s="288" t="str">
        <f t="shared" si="220"/>
        <v/>
      </c>
      <c r="AI230" s="36">
        <f t="shared" si="221"/>
        <v>-1</v>
      </c>
      <c r="AJ230" s="36">
        <f t="shared" si="222"/>
        <v>-1</v>
      </c>
      <c r="AK230" s="36">
        <f t="shared" si="223"/>
        <v>-1</v>
      </c>
      <c r="AL230" s="36"/>
      <c r="AM230" s="36" t="str">
        <f t="shared" si="244"/>
        <v/>
      </c>
      <c r="AN230" s="288" t="str">
        <f t="shared" si="224"/>
        <v/>
      </c>
      <c r="AO230" s="288" t="str">
        <f t="shared" si="225"/>
        <v/>
      </c>
      <c r="AP230" s="288" t="str">
        <f t="shared" si="226"/>
        <v/>
      </c>
      <c r="AQ230" s="36">
        <f t="shared" ref="AQ230:AS230" si="280">AQ229</f>
        <v>3.3793103448275866E-2</v>
      </c>
      <c r="AR230" s="36">
        <f t="shared" si="280"/>
        <v>5.9329425287356324E-2</v>
      </c>
      <c r="AS230" s="36">
        <f t="shared" si="280"/>
        <v>8.4865747126436797E-2</v>
      </c>
      <c r="AT230" s="288">
        <f t="shared" si="228"/>
        <v>0.11040206896551726</v>
      </c>
    </row>
    <row r="231" spans="2:46">
      <c r="B231" s="287"/>
      <c r="C231" s="707"/>
      <c r="D231" s="707"/>
      <c r="E231" s="707"/>
      <c r="F231" s="707"/>
      <c r="G231" s="707"/>
      <c r="H231" s="707"/>
      <c r="I231" s="707"/>
      <c r="J231" s="707"/>
      <c r="K231" s="707"/>
      <c r="L231" s="707"/>
      <c r="M231" s="707"/>
      <c r="N231" s="707"/>
      <c r="O231" s="707"/>
      <c r="P231" s="707"/>
      <c r="Q231" s="707"/>
      <c r="R231" s="707"/>
      <c r="S231" s="707"/>
      <c r="T231" s="707"/>
      <c r="U231" s="707"/>
      <c r="V231" s="707"/>
      <c r="W231" s="707"/>
      <c r="X231" s="707"/>
      <c r="Y231" s="707"/>
      <c r="Z231" s="707"/>
      <c r="AA231" s="36" t="str">
        <f t="shared" si="242"/>
        <v/>
      </c>
      <c r="AB231" s="288" t="str">
        <f t="shared" si="214"/>
        <v/>
      </c>
      <c r="AC231" s="288" t="str">
        <f t="shared" si="215"/>
        <v/>
      </c>
      <c r="AD231" s="288" t="str">
        <f t="shared" si="216"/>
        <v/>
      </c>
      <c r="AE231" s="288" t="str">
        <f t="shared" si="217"/>
        <v/>
      </c>
      <c r="AF231" s="288" t="str">
        <f t="shared" si="218"/>
        <v/>
      </c>
      <c r="AG231" s="288" t="str">
        <f t="shared" si="219"/>
        <v/>
      </c>
      <c r="AH231" s="288" t="str">
        <f t="shared" si="220"/>
        <v/>
      </c>
      <c r="AI231" s="36">
        <f t="shared" si="221"/>
        <v>-1</v>
      </c>
      <c r="AJ231" s="36">
        <f t="shared" si="222"/>
        <v>-1</v>
      </c>
      <c r="AK231" s="36">
        <f t="shared" si="223"/>
        <v>-1</v>
      </c>
      <c r="AL231" s="36"/>
      <c r="AM231" s="36" t="str">
        <f t="shared" si="244"/>
        <v/>
      </c>
      <c r="AN231" s="288" t="str">
        <f t="shared" si="224"/>
        <v/>
      </c>
      <c r="AO231" s="288" t="str">
        <f t="shared" si="225"/>
        <v/>
      </c>
      <c r="AP231" s="288" t="str">
        <f t="shared" si="226"/>
        <v/>
      </c>
      <c r="AQ231" s="36">
        <f t="shared" ref="AQ231:AS231" si="281">AQ230</f>
        <v>3.3793103448275866E-2</v>
      </c>
      <c r="AR231" s="36">
        <f t="shared" si="281"/>
        <v>5.9329425287356324E-2</v>
      </c>
      <c r="AS231" s="36">
        <f t="shared" si="281"/>
        <v>8.4865747126436797E-2</v>
      </c>
      <c r="AT231" s="288">
        <f t="shared" si="228"/>
        <v>0.11040206896551726</v>
      </c>
    </row>
    <row r="232" spans="2:46">
      <c r="B232" s="287"/>
      <c r="C232" s="707"/>
      <c r="D232" s="707"/>
      <c r="E232" s="707"/>
      <c r="F232" s="707"/>
      <c r="G232" s="707"/>
      <c r="H232" s="707"/>
      <c r="I232" s="707"/>
      <c r="J232" s="707"/>
      <c r="K232" s="707"/>
      <c r="L232" s="707"/>
      <c r="M232" s="707"/>
      <c r="N232" s="707"/>
      <c r="O232" s="707"/>
      <c r="P232" s="707"/>
      <c r="Q232" s="707"/>
      <c r="R232" s="707"/>
      <c r="S232" s="707"/>
      <c r="T232" s="707"/>
      <c r="U232" s="707"/>
      <c r="V232" s="707"/>
      <c r="W232" s="707"/>
      <c r="X232" s="707"/>
      <c r="Y232" s="707"/>
      <c r="Z232" s="707"/>
      <c r="AA232" s="36" t="str">
        <f t="shared" si="242"/>
        <v/>
      </c>
      <c r="AB232" s="288" t="str">
        <f t="shared" si="214"/>
        <v/>
      </c>
      <c r="AC232" s="288" t="str">
        <f t="shared" si="215"/>
        <v/>
      </c>
      <c r="AD232" s="288" t="str">
        <f t="shared" si="216"/>
        <v/>
      </c>
      <c r="AE232" s="288" t="str">
        <f t="shared" si="217"/>
        <v/>
      </c>
      <c r="AF232" s="288" t="str">
        <f t="shared" si="218"/>
        <v/>
      </c>
      <c r="AG232" s="288" t="str">
        <f t="shared" si="219"/>
        <v/>
      </c>
      <c r="AH232" s="288" t="str">
        <f t="shared" si="220"/>
        <v/>
      </c>
      <c r="AI232" s="36">
        <f t="shared" si="221"/>
        <v>-1</v>
      </c>
      <c r="AJ232" s="36">
        <f t="shared" si="222"/>
        <v>-1</v>
      </c>
      <c r="AK232" s="36">
        <f t="shared" si="223"/>
        <v>-1</v>
      </c>
      <c r="AL232" s="36"/>
      <c r="AM232" s="36" t="str">
        <f t="shared" si="244"/>
        <v/>
      </c>
      <c r="AN232" s="288" t="str">
        <f t="shared" si="224"/>
        <v/>
      </c>
      <c r="AO232" s="288" t="str">
        <f t="shared" si="225"/>
        <v/>
      </c>
      <c r="AP232" s="288" t="str">
        <f t="shared" si="226"/>
        <v/>
      </c>
      <c r="AQ232" s="36">
        <f t="shared" ref="AQ232:AS232" si="282">AQ231</f>
        <v>3.3793103448275866E-2</v>
      </c>
      <c r="AR232" s="36">
        <f t="shared" si="282"/>
        <v>5.9329425287356324E-2</v>
      </c>
      <c r="AS232" s="36">
        <f t="shared" si="282"/>
        <v>8.4865747126436797E-2</v>
      </c>
      <c r="AT232" s="288">
        <f t="shared" si="228"/>
        <v>0.11040206896551726</v>
      </c>
    </row>
    <row r="233" spans="2:46">
      <c r="B233" s="287"/>
      <c r="C233" s="707"/>
      <c r="D233" s="707"/>
      <c r="E233" s="707"/>
      <c r="F233" s="707"/>
      <c r="G233" s="707"/>
      <c r="H233" s="707"/>
      <c r="I233" s="707"/>
      <c r="J233" s="707"/>
      <c r="K233" s="707"/>
      <c r="L233" s="707"/>
      <c r="M233" s="707"/>
      <c r="N233" s="707"/>
      <c r="O233" s="707"/>
      <c r="P233" s="707"/>
      <c r="Q233" s="707"/>
      <c r="R233" s="707"/>
      <c r="S233" s="707"/>
      <c r="T233" s="707"/>
      <c r="U233" s="707"/>
      <c r="V233" s="707"/>
      <c r="W233" s="707"/>
      <c r="X233" s="707"/>
      <c r="Y233" s="707"/>
      <c r="Z233" s="707"/>
      <c r="AA233" s="36" t="str">
        <f t="shared" si="242"/>
        <v/>
      </c>
      <c r="AB233" s="288" t="str">
        <f t="shared" si="214"/>
        <v/>
      </c>
      <c r="AC233" s="288" t="str">
        <f t="shared" si="215"/>
        <v/>
      </c>
      <c r="AD233" s="288" t="str">
        <f t="shared" si="216"/>
        <v/>
      </c>
      <c r="AE233" s="288" t="str">
        <f t="shared" si="217"/>
        <v/>
      </c>
      <c r="AF233" s="288" t="str">
        <f t="shared" si="218"/>
        <v/>
      </c>
      <c r="AG233" s="288" t="str">
        <f t="shared" si="219"/>
        <v/>
      </c>
      <c r="AH233" s="288" t="str">
        <f t="shared" si="220"/>
        <v/>
      </c>
      <c r="AI233" s="36">
        <f t="shared" si="221"/>
        <v>-1</v>
      </c>
      <c r="AJ233" s="36">
        <f t="shared" si="222"/>
        <v>-1</v>
      </c>
      <c r="AK233" s="36">
        <f t="shared" si="223"/>
        <v>-1</v>
      </c>
      <c r="AL233" s="36"/>
      <c r="AM233" s="36" t="str">
        <f t="shared" si="244"/>
        <v/>
      </c>
      <c r="AN233" s="288" t="str">
        <f t="shared" si="224"/>
        <v/>
      </c>
      <c r="AO233" s="288" t="str">
        <f t="shared" si="225"/>
        <v/>
      </c>
      <c r="AP233" s="288" t="str">
        <f t="shared" si="226"/>
        <v/>
      </c>
      <c r="AQ233" s="36">
        <f t="shared" ref="AQ233:AS233" si="283">AQ232</f>
        <v>3.3793103448275866E-2</v>
      </c>
      <c r="AR233" s="36">
        <f t="shared" si="283"/>
        <v>5.9329425287356324E-2</v>
      </c>
      <c r="AS233" s="36">
        <f t="shared" si="283"/>
        <v>8.4865747126436797E-2</v>
      </c>
      <c r="AT233" s="288">
        <f t="shared" si="228"/>
        <v>0.11040206896551726</v>
      </c>
    </row>
    <row r="234" spans="2:46">
      <c r="B234" s="287"/>
      <c r="C234" s="707"/>
      <c r="D234" s="707"/>
      <c r="E234" s="707"/>
      <c r="F234" s="707"/>
      <c r="G234" s="707"/>
      <c r="H234" s="707"/>
      <c r="I234" s="707"/>
      <c r="J234" s="707"/>
      <c r="K234" s="707"/>
      <c r="L234" s="707"/>
      <c r="M234" s="707"/>
      <c r="N234" s="707"/>
      <c r="O234" s="707"/>
      <c r="P234" s="707"/>
      <c r="Q234" s="707"/>
      <c r="R234" s="707"/>
      <c r="S234" s="707"/>
      <c r="T234" s="707"/>
      <c r="U234" s="707"/>
      <c r="V234" s="707"/>
      <c r="W234" s="707"/>
      <c r="X234" s="707"/>
      <c r="Y234" s="707"/>
      <c r="Z234" s="707"/>
      <c r="AA234" s="36" t="str">
        <f t="shared" si="242"/>
        <v/>
      </c>
      <c r="AB234" s="288" t="str">
        <f t="shared" si="214"/>
        <v/>
      </c>
      <c r="AC234" s="288" t="str">
        <f t="shared" si="215"/>
        <v/>
      </c>
      <c r="AD234" s="288" t="str">
        <f t="shared" si="216"/>
        <v/>
      </c>
      <c r="AE234" s="288" t="str">
        <f t="shared" si="217"/>
        <v/>
      </c>
      <c r="AF234" s="288" t="str">
        <f t="shared" si="218"/>
        <v/>
      </c>
      <c r="AG234" s="288" t="str">
        <f t="shared" si="219"/>
        <v/>
      </c>
      <c r="AH234" s="288" t="str">
        <f t="shared" si="220"/>
        <v/>
      </c>
      <c r="AI234" s="36">
        <f t="shared" si="221"/>
        <v>-1</v>
      </c>
      <c r="AJ234" s="36">
        <f t="shared" si="222"/>
        <v>-1</v>
      </c>
      <c r="AK234" s="36">
        <f t="shared" si="223"/>
        <v>-1</v>
      </c>
      <c r="AL234" s="36"/>
      <c r="AM234" s="36" t="str">
        <f t="shared" si="244"/>
        <v/>
      </c>
      <c r="AN234" s="288" t="str">
        <f t="shared" si="224"/>
        <v/>
      </c>
      <c r="AO234" s="288" t="str">
        <f t="shared" si="225"/>
        <v/>
      </c>
      <c r="AP234" s="288" t="str">
        <f t="shared" si="226"/>
        <v/>
      </c>
      <c r="AQ234" s="36">
        <f t="shared" ref="AQ234:AS234" si="284">AQ233</f>
        <v>3.3793103448275866E-2</v>
      </c>
      <c r="AR234" s="36">
        <f t="shared" si="284"/>
        <v>5.9329425287356324E-2</v>
      </c>
      <c r="AS234" s="36">
        <f t="shared" si="284"/>
        <v>8.4865747126436797E-2</v>
      </c>
      <c r="AT234" s="288">
        <f t="shared" si="228"/>
        <v>0.11040206896551726</v>
      </c>
    </row>
    <row r="235" spans="2:46">
      <c r="B235" s="287"/>
      <c r="C235" s="707"/>
      <c r="D235" s="707"/>
      <c r="E235" s="707"/>
      <c r="F235" s="707"/>
      <c r="G235" s="707"/>
      <c r="H235" s="707"/>
      <c r="I235" s="707"/>
      <c r="J235" s="707"/>
      <c r="K235" s="707"/>
      <c r="L235" s="707"/>
      <c r="M235" s="707"/>
      <c r="N235" s="707"/>
      <c r="O235" s="707"/>
      <c r="P235" s="707"/>
      <c r="Q235" s="707"/>
      <c r="R235" s="707"/>
      <c r="S235" s="707"/>
      <c r="T235" s="707"/>
      <c r="U235" s="707"/>
      <c r="V235" s="707"/>
      <c r="W235" s="707"/>
      <c r="X235" s="707"/>
      <c r="Y235" s="707"/>
      <c r="Z235" s="707"/>
      <c r="AA235" s="36" t="str">
        <f t="shared" si="242"/>
        <v/>
      </c>
      <c r="AB235" s="288" t="str">
        <f t="shared" si="214"/>
        <v/>
      </c>
      <c r="AC235" s="288" t="str">
        <f t="shared" si="215"/>
        <v/>
      </c>
      <c r="AD235" s="288" t="str">
        <f t="shared" si="216"/>
        <v/>
      </c>
      <c r="AE235" s="288" t="str">
        <f t="shared" si="217"/>
        <v/>
      </c>
      <c r="AF235" s="288" t="str">
        <f t="shared" si="218"/>
        <v/>
      </c>
      <c r="AG235" s="288" t="str">
        <f t="shared" si="219"/>
        <v/>
      </c>
      <c r="AH235" s="288" t="str">
        <f t="shared" si="220"/>
        <v/>
      </c>
      <c r="AI235" s="36">
        <f t="shared" si="221"/>
        <v>-1</v>
      </c>
      <c r="AJ235" s="36">
        <f t="shared" si="222"/>
        <v>-1</v>
      </c>
      <c r="AK235" s="36">
        <f t="shared" si="223"/>
        <v>-1</v>
      </c>
      <c r="AL235" s="36"/>
      <c r="AM235" s="36" t="str">
        <f t="shared" si="244"/>
        <v/>
      </c>
      <c r="AN235" s="288" t="str">
        <f t="shared" si="224"/>
        <v/>
      </c>
      <c r="AO235" s="288" t="str">
        <f t="shared" si="225"/>
        <v/>
      </c>
      <c r="AP235" s="288" t="str">
        <f t="shared" si="226"/>
        <v/>
      </c>
      <c r="AQ235" s="36">
        <f t="shared" ref="AQ235:AS235" si="285">AQ234</f>
        <v>3.3793103448275866E-2</v>
      </c>
      <c r="AR235" s="36">
        <f t="shared" si="285"/>
        <v>5.9329425287356324E-2</v>
      </c>
      <c r="AS235" s="36">
        <f t="shared" si="285"/>
        <v>8.4865747126436797E-2</v>
      </c>
      <c r="AT235" s="288">
        <f t="shared" si="228"/>
        <v>0.11040206896551726</v>
      </c>
    </row>
    <row r="236" spans="2:46">
      <c r="B236" s="287"/>
      <c r="C236" s="707"/>
      <c r="D236" s="707"/>
      <c r="E236" s="707"/>
      <c r="F236" s="707"/>
      <c r="G236" s="707"/>
      <c r="H236" s="707"/>
      <c r="I236" s="707"/>
      <c r="J236" s="707"/>
      <c r="K236" s="707"/>
      <c r="L236" s="707"/>
      <c r="M236" s="707"/>
      <c r="N236" s="707"/>
      <c r="O236" s="707"/>
      <c r="P236" s="707"/>
      <c r="Q236" s="707"/>
      <c r="R236" s="707"/>
      <c r="S236" s="707"/>
      <c r="T236" s="707"/>
      <c r="U236" s="707"/>
      <c r="V236" s="707"/>
      <c r="W236" s="707"/>
      <c r="X236" s="707"/>
      <c r="Y236" s="707"/>
      <c r="Z236" s="707"/>
      <c r="AA236" s="36" t="str">
        <f t="shared" si="242"/>
        <v/>
      </c>
      <c r="AB236" s="288" t="str">
        <f t="shared" si="214"/>
        <v/>
      </c>
      <c r="AC236" s="288" t="str">
        <f t="shared" si="215"/>
        <v/>
      </c>
      <c r="AD236" s="288" t="str">
        <f t="shared" si="216"/>
        <v/>
      </c>
      <c r="AE236" s="288" t="str">
        <f t="shared" si="217"/>
        <v/>
      </c>
      <c r="AF236" s="288" t="str">
        <f t="shared" si="218"/>
        <v/>
      </c>
      <c r="AG236" s="288" t="str">
        <f t="shared" si="219"/>
        <v/>
      </c>
      <c r="AH236" s="288" t="str">
        <f t="shared" si="220"/>
        <v/>
      </c>
      <c r="AI236" s="36">
        <f t="shared" si="221"/>
        <v>-1</v>
      </c>
      <c r="AJ236" s="36">
        <f t="shared" si="222"/>
        <v>-1</v>
      </c>
      <c r="AK236" s="36">
        <f t="shared" si="223"/>
        <v>-1</v>
      </c>
      <c r="AL236" s="36"/>
      <c r="AM236" s="36" t="str">
        <f t="shared" si="244"/>
        <v/>
      </c>
      <c r="AN236" s="288" t="str">
        <f t="shared" si="224"/>
        <v/>
      </c>
      <c r="AO236" s="288" t="str">
        <f t="shared" si="225"/>
        <v/>
      </c>
      <c r="AP236" s="288" t="str">
        <f t="shared" si="226"/>
        <v/>
      </c>
      <c r="AQ236" s="36">
        <f t="shared" ref="AQ236:AS236" si="286">AQ235</f>
        <v>3.3793103448275866E-2</v>
      </c>
      <c r="AR236" s="36">
        <f t="shared" si="286"/>
        <v>5.9329425287356324E-2</v>
      </c>
      <c r="AS236" s="36">
        <f t="shared" si="286"/>
        <v>8.4865747126436797E-2</v>
      </c>
      <c r="AT236" s="288">
        <f t="shared" si="228"/>
        <v>0.11040206896551726</v>
      </c>
    </row>
    <row r="237" spans="2:46">
      <c r="B237" s="287"/>
      <c r="C237" s="707"/>
      <c r="D237" s="707"/>
      <c r="E237" s="707"/>
      <c r="F237" s="707"/>
      <c r="G237" s="707"/>
      <c r="H237" s="707"/>
      <c r="I237" s="707"/>
      <c r="J237" s="707"/>
      <c r="K237" s="707"/>
      <c r="L237" s="707"/>
      <c r="M237" s="707"/>
      <c r="N237" s="707"/>
      <c r="O237" s="707"/>
      <c r="P237" s="707"/>
      <c r="Q237" s="707"/>
      <c r="R237" s="707"/>
      <c r="S237" s="707"/>
      <c r="T237" s="707"/>
      <c r="U237" s="707"/>
      <c r="V237" s="707"/>
      <c r="W237" s="707"/>
      <c r="X237" s="707"/>
      <c r="Y237" s="707"/>
      <c r="Z237" s="707"/>
      <c r="AA237" s="36" t="str">
        <f t="shared" si="242"/>
        <v/>
      </c>
      <c r="AB237" s="288" t="str">
        <f t="shared" si="214"/>
        <v/>
      </c>
      <c r="AC237" s="288" t="str">
        <f t="shared" si="215"/>
        <v/>
      </c>
      <c r="AD237" s="288" t="str">
        <f t="shared" si="216"/>
        <v/>
      </c>
      <c r="AE237" s="288" t="str">
        <f t="shared" si="217"/>
        <v/>
      </c>
      <c r="AF237" s="288" t="str">
        <f t="shared" si="218"/>
        <v/>
      </c>
      <c r="AG237" s="288" t="str">
        <f t="shared" si="219"/>
        <v/>
      </c>
      <c r="AH237" s="288" t="str">
        <f t="shared" si="220"/>
        <v/>
      </c>
      <c r="AI237" s="36">
        <f t="shared" si="221"/>
        <v>-1</v>
      </c>
      <c r="AJ237" s="36">
        <f t="shared" si="222"/>
        <v>-1</v>
      </c>
      <c r="AK237" s="36">
        <f t="shared" si="223"/>
        <v>-1</v>
      </c>
      <c r="AL237" s="36"/>
      <c r="AM237" s="36" t="str">
        <f t="shared" si="244"/>
        <v/>
      </c>
      <c r="AN237" s="288" t="str">
        <f t="shared" si="224"/>
        <v/>
      </c>
      <c r="AO237" s="288" t="str">
        <f t="shared" si="225"/>
        <v/>
      </c>
      <c r="AP237" s="288" t="str">
        <f t="shared" si="226"/>
        <v/>
      </c>
      <c r="AQ237" s="36">
        <f t="shared" ref="AQ237:AS237" si="287">AQ236</f>
        <v>3.3793103448275866E-2</v>
      </c>
      <c r="AR237" s="36">
        <f t="shared" si="287"/>
        <v>5.9329425287356324E-2</v>
      </c>
      <c r="AS237" s="36">
        <f t="shared" si="287"/>
        <v>8.4865747126436797E-2</v>
      </c>
      <c r="AT237" s="288">
        <f t="shared" si="228"/>
        <v>0.11040206896551726</v>
      </c>
    </row>
    <row r="238" spans="2:46">
      <c r="B238" s="287"/>
      <c r="C238" s="707"/>
      <c r="D238" s="707"/>
      <c r="E238" s="707"/>
      <c r="F238" s="707"/>
      <c r="G238" s="707"/>
      <c r="H238" s="707"/>
      <c r="I238" s="707"/>
      <c r="J238" s="707"/>
      <c r="K238" s="707"/>
      <c r="L238" s="707"/>
      <c r="M238" s="707"/>
      <c r="N238" s="707"/>
      <c r="O238" s="707"/>
      <c r="P238" s="707"/>
      <c r="Q238" s="707"/>
      <c r="R238" s="707"/>
      <c r="S238" s="707"/>
      <c r="T238" s="707"/>
      <c r="U238" s="707"/>
      <c r="V238" s="707"/>
      <c r="W238" s="707"/>
      <c r="X238" s="707"/>
      <c r="Y238" s="707"/>
      <c r="Z238" s="707"/>
      <c r="AA238" s="36" t="str">
        <f t="shared" si="242"/>
        <v/>
      </c>
      <c r="AB238" s="288" t="str">
        <f t="shared" si="214"/>
        <v/>
      </c>
      <c r="AC238" s="288" t="str">
        <f t="shared" si="215"/>
        <v/>
      </c>
      <c r="AD238" s="288" t="str">
        <f t="shared" si="216"/>
        <v/>
      </c>
      <c r="AE238" s="288" t="str">
        <f t="shared" si="217"/>
        <v/>
      </c>
      <c r="AF238" s="288" t="str">
        <f t="shared" si="218"/>
        <v/>
      </c>
      <c r="AG238" s="288" t="str">
        <f t="shared" si="219"/>
        <v/>
      </c>
      <c r="AH238" s="288" t="str">
        <f t="shared" si="220"/>
        <v/>
      </c>
      <c r="AI238" s="36">
        <f t="shared" si="221"/>
        <v>-1</v>
      </c>
      <c r="AJ238" s="36">
        <f t="shared" si="222"/>
        <v>-1</v>
      </c>
      <c r="AK238" s="36">
        <f t="shared" si="223"/>
        <v>-1</v>
      </c>
      <c r="AL238" s="36"/>
      <c r="AM238" s="36" t="str">
        <f t="shared" si="244"/>
        <v/>
      </c>
      <c r="AN238" s="288" t="str">
        <f t="shared" si="224"/>
        <v/>
      </c>
      <c r="AO238" s="288" t="str">
        <f t="shared" si="225"/>
        <v/>
      </c>
      <c r="AP238" s="288" t="str">
        <f t="shared" si="226"/>
        <v/>
      </c>
      <c r="AQ238" s="36">
        <f t="shared" ref="AQ238:AS238" si="288">AQ237</f>
        <v>3.3793103448275866E-2</v>
      </c>
      <c r="AR238" s="36">
        <f t="shared" si="288"/>
        <v>5.9329425287356324E-2</v>
      </c>
      <c r="AS238" s="36">
        <f t="shared" si="288"/>
        <v>8.4865747126436797E-2</v>
      </c>
      <c r="AT238" s="288">
        <f t="shared" si="228"/>
        <v>0.11040206896551726</v>
      </c>
    </row>
    <row r="239" spans="2:46">
      <c r="B239" s="287"/>
      <c r="C239" s="707"/>
      <c r="D239" s="707"/>
      <c r="E239" s="707"/>
      <c r="F239" s="707"/>
      <c r="G239" s="707"/>
      <c r="H239" s="707"/>
      <c r="I239" s="707"/>
      <c r="J239" s="707"/>
      <c r="K239" s="707"/>
      <c r="L239" s="707"/>
      <c r="M239" s="707"/>
      <c r="N239" s="707"/>
      <c r="O239" s="707"/>
      <c r="P239" s="707"/>
      <c r="Q239" s="707"/>
      <c r="R239" s="707"/>
      <c r="S239" s="707"/>
      <c r="T239" s="707"/>
      <c r="U239" s="707"/>
      <c r="V239" s="707"/>
      <c r="W239" s="707"/>
      <c r="X239" s="707"/>
      <c r="Y239" s="707"/>
      <c r="Z239" s="707"/>
      <c r="AA239" s="36" t="str">
        <f t="shared" si="242"/>
        <v/>
      </c>
      <c r="AB239" s="288" t="str">
        <f t="shared" si="214"/>
        <v/>
      </c>
      <c r="AC239" s="288" t="str">
        <f t="shared" si="215"/>
        <v/>
      </c>
      <c r="AD239" s="288" t="str">
        <f t="shared" si="216"/>
        <v/>
      </c>
      <c r="AE239" s="288" t="str">
        <f t="shared" si="217"/>
        <v/>
      </c>
      <c r="AF239" s="288" t="str">
        <f t="shared" si="218"/>
        <v/>
      </c>
      <c r="AG239" s="288" t="str">
        <f t="shared" si="219"/>
        <v/>
      </c>
      <c r="AH239" s="288" t="str">
        <f t="shared" si="220"/>
        <v/>
      </c>
      <c r="AI239" s="36">
        <f t="shared" si="221"/>
        <v>-1</v>
      </c>
      <c r="AJ239" s="36">
        <f t="shared" si="222"/>
        <v>-1</v>
      </c>
      <c r="AK239" s="36">
        <f t="shared" si="223"/>
        <v>-1</v>
      </c>
      <c r="AL239" s="36"/>
      <c r="AM239" s="36" t="str">
        <f t="shared" si="244"/>
        <v/>
      </c>
      <c r="AN239" s="288" t="str">
        <f t="shared" si="224"/>
        <v/>
      </c>
      <c r="AO239" s="288" t="str">
        <f t="shared" si="225"/>
        <v/>
      </c>
      <c r="AP239" s="288" t="str">
        <f t="shared" si="226"/>
        <v/>
      </c>
      <c r="AQ239" s="36">
        <f t="shared" ref="AQ239:AS239" si="289">AQ238</f>
        <v>3.3793103448275866E-2</v>
      </c>
      <c r="AR239" s="36">
        <f t="shared" si="289"/>
        <v>5.9329425287356324E-2</v>
      </c>
      <c r="AS239" s="36">
        <f t="shared" si="289"/>
        <v>8.4865747126436797E-2</v>
      </c>
      <c r="AT239" s="288">
        <f t="shared" si="228"/>
        <v>0.11040206896551726</v>
      </c>
    </row>
    <row r="240" spans="2:46">
      <c r="B240" s="287"/>
      <c r="C240" s="707"/>
      <c r="D240" s="707"/>
      <c r="E240" s="707"/>
      <c r="F240" s="707"/>
      <c r="G240" s="707"/>
      <c r="H240" s="707"/>
      <c r="I240" s="707"/>
      <c r="J240" s="707"/>
      <c r="K240" s="707"/>
      <c r="L240" s="707"/>
      <c r="M240" s="707"/>
      <c r="N240" s="707"/>
      <c r="O240" s="707"/>
      <c r="P240" s="707"/>
      <c r="Q240" s="707"/>
      <c r="R240" s="707"/>
      <c r="S240" s="707"/>
      <c r="T240" s="707"/>
      <c r="U240" s="707"/>
      <c r="V240" s="707"/>
      <c r="W240" s="707"/>
      <c r="X240" s="707"/>
      <c r="Y240" s="707"/>
      <c r="Z240" s="707"/>
      <c r="AA240" s="36" t="str">
        <f t="shared" si="242"/>
        <v/>
      </c>
      <c r="AB240" s="288" t="str">
        <f t="shared" si="214"/>
        <v/>
      </c>
      <c r="AC240" s="288" t="str">
        <f t="shared" si="215"/>
        <v/>
      </c>
      <c r="AD240" s="288" t="str">
        <f t="shared" si="216"/>
        <v/>
      </c>
      <c r="AE240" s="288" t="str">
        <f t="shared" si="217"/>
        <v/>
      </c>
      <c r="AF240" s="288" t="str">
        <f t="shared" si="218"/>
        <v/>
      </c>
      <c r="AG240" s="288" t="str">
        <f t="shared" si="219"/>
        <v/>
      </c>
      <c r="AH240" s="288" t="str">
        <f t="shared" si="220"/>
        <v/>
      </c>
      <c r="AI240" s="36">
        <f t="shared" si="221"/>
        <v>-1</v>
      </c>
      <c r="AJ240" s="36">
        <f t="shared" si="222"/>
        <v>-1</v>
      </c>
      <c r="AK240" s="36">
        <f t="shared" si="223"/>
        <v>-1</v>
      </c>
      <c r="AL240" s="36"/>
      <c r="AM240" s="36" t="str">
        <f t="shared" si="244"/>
        <v/>
      </c>
      <c r="AN240" s="288" t="str">
        <f t="shared" si="224"/>
        <v/>
      </c>
      <c r="AO240" s="288" t="str">
        <f t="shared" si="225"/>
        <v/>
      </c>
      <c r="AP240" s="288" t="str">
        <f t="shared" si="226"/>
        <v/>
      </c>
      <c r="AQ240" s="36">
        <f t="shared" ref="AQ240:AS240" si="290">AQ239</f>
        <v>3.3793103448275866E-2</v>
      </c>
      <c r="AR240" s="36">
        <f t="shared" si="290"/>
        <v>5.9329425287356324E-2</v>
      </c>
      <c r="AS240" s="36">
        <f t="shared" si="290"/>
        <v>8.4865747126436797E-2</v>
      </c>
      <c r="AT240" s="288">
        <f t="shared" si="228"/>
        <v>0.11040206896551726</v>
      </c>
    </row>
    <row r="241" spans="2:46">
      <c r="B241" s="287"/>
      <c r="C241" s="707"/>
      <c r="D241" s="707"/>
      <c r="E241" s="707"/>
      <c r="F241" s="707"/>
      <c r="G241" s="707"/>
      <c r="H241" s="707"/>
      <c r="I241" s="707"/>
      <c r="J241" s="707"/>
      <c r="K241" s="707"/>
      <c r="L241" s="707"/>
      <c r="M241" s="707"/>
      <c r="N241" s="707"/>
      <c r="O241" s="707"/>
      <c r="P241" s="707"/>
      <c r="Q241" s="707"/>
      <c r="R241" s="707"/>
      <c r="S241" s="707"/>
      <c r="T241" s="707"/>
      <c r="U241" s="707"/>
      <c r="V241" s="707"/>
      <c r="W241" s="707"/>
      <c r="X241" s="707"/>
      <c r="Y241" s="707"/>
      <c r="Z241" s="707"/>
      <c r="AA241" s="36" t="str">
        <f t="shared" si="242"/>
        <v/>
      </c>
      <c r="AB241" s="288" t="str">
        <f t="shared" si="214"/>
        <v/>
      </c>
      <c r="AC241" s="288" t="str">
        <f t="shared" si="215"/>
        <v/>
      </c>
      <c r="AD241" s="288" t="str">
        <f t="shared" si="216"/>
        <v/>
      </c>
      <c r="AE241" s="288" t="str">
        <f t="shared" si="217"/>
        <v/>
      </c>
      <c r="AF241" s="288" t="str">
        <f t="shared" si="218"/>
        <v/>
      </c>
      <c r="AG241" s="288" t="str">
        <f t="shared" si="219"/>
        <v/>
      </c>
      <c r="AH241" s="288" t="str">
        <f t="shared" si="220"/>
        <v/>
      </c>
      <c r="AI241" s="36">
        <f t="shared" si="221"/>
        <v>-1</v>
      </c>
      <c r="AJ241" s="36">
        <f t="shared" si="222"/>
        <v>-1</v>
      </c>
      <c r="AK241" s="36">
        <f t="shared" si="223"/>
        <v>-1</v>
      </c>
      <c r="AL241" s="36"/>
      <c r="AM241" s="36" t="str">
        <f t="shared" si="244"/>
        <v/>
      </c>
      <c r="AN241" s="288" t="str">
        <f t="shared" si="224"/>
        <v/>
      </c>
      <c r="AO241" s="288" t="str">
        <f t="shared" si="225"/>
        <v/>
      </c>
      <c r="AP241" s="288" t="str">
        <f t="shared" si="226"/>
        <v/>
      </c>
      <c r="AQ241" s="36">
        <f t="shared" ref="AQ241:AS241" si="291">AQ240</f>
        <v>3.3793103448275866E-2</v>
      </c>
      <c r="AR241" s="36">
        <f t="shared" si="291"/>
        <v>5.9329425287356324E-2</v>
      </c>
      <c r="AS241" s="36">
        <f t="shared" si="291"/>
        <v>8.4865747126436797E-2</v>
      </c>
      <c r="AT241" s="288">
        <f t="shared" si="228"/>
        <v>0.11040206896551726</v>
      </c>
    </row>
    <row r="242" spans="2:46">
      <c r="B242" s="287"/>
      <c r="C242" s="707"/>
      <c r="D242" s="707"/>
      <c r="E242" s="707"/>
      <c r="F242" s="707"/>
      <c r="G242" s="707"/>
      <c r="H242" s="707"/>
      <c r="I242" s="707"/>
      <c r="J242" s="707"/>
      <c r="K242" s="707"/>
      <c r="L242" s="707"/>
      <c r="M242" s="707"/>
      <c r="N242" s="707"/>
      <c r="O242" s="707"/>
      <c r="P242" s="707"/>
      <c r="Q242" s="707"/>
      <c r="R242" s="707"/>
      <c r="S242" s="707"/>
      <c r="T242" s="707"/>
      <c r="U242" s="707"/>
      <c r="V242" s="707"/>
      <c r="W242" s="707"/>
      <c r="X242" s="707"/>
      <c r="Y242" s="707"/>
      <c r="Z242" s="707"/>
      <c r="AA242" s="36" t="str">
        <f t="shared" si="242"/>
        <v/>
      </c>
      <c r="AB242" s="288" t="str">
        <f t="shared" si="214"/>
        <v/>
      </c>
      <c r="AC242" s="288" t="str">
        <f t="shared" si="215"/>
        <v/>
      </c>
      <c r="AD242" s="288" t="str">
        <f t="shared" si="216"/>
        <v/>
      </c>
      <c r="AE242" s="288" t="str">
        <f t="shared" si="217"/>
        <v/>
      </c>
      <c r="AF242" s="288" t="str">
        <f t="shared" si="218"/>
        <v/>
      </c>
      <c r="AG242" s="288" t="str">
        <f t="shared" si="219"/>
        <v/>
      </c>
      <c r="AH242" s="288" t="str">
        <f t="shared" si="220"/>
        <v/>
      </c>
      <c r="AI242" s="36">
        <f t="shared" si="221"/>
        <v>-1</v>
      </c>
      <c r="AJ242" s="36">
        <f t="shared" si="222"/>
        <v>-1</v>
      </c>
      <c r="AK242" s="36">
        <f t="shared" si="223"/>
        <v>-1</v>
      </c>
      <c r="AL242" s="36"/>
      <c r="AM242" s="36" t="str">
        <f t="shared" si="244"/>
        <v/>
      </c>
      <c r="AN242" s="288" t="str">
        <f t="shared" si="224"/>
        <v/>
      </c>
      <c r="AO242" s="288" t="str">
        <f t="shared" si="225"/>
        <v/>
      </c>
      <c r="AP242" s="288" t="str">
        <f t="shared" si="226"/>
        <v/>
      </c>
      <c r="AQ242" s="36">
        <f t="shared" ref="AQ242:AS242" si="292">AQ241</f>
        <v>3.3793103448275866E-2</v>
      </c>
      <c r="AR242" s="36">
        <f t="shared" si="292"/>
        <v>5.9329425287356324E-2</v>
      </c>
      <c r="AS242" s="36">
        <f t="shared" si="292"/>
        <v>8.4865747126436797E-2</v>
      </c>
      <c r="AT242" s="288">
        <f t="shared" si="228"/>
        <v>0.11040206896551726</v>
      </c>
    </row>
    <row r="243" spans="2:46">
      <c r="B243" s="287"/>
      <c r="C243" s="707"/>
      <c r="D243" s="707"/>
      <c r="E243" s="707"/>
      <c r="F243" s="707"/>
      <c r="G243" s="707"/>
      <c r="H243" s="707"/>
      <c r="I243" s="707"/>
      <c r="J243" s="707"/>
      <c r="K243" s="707"/>
      <c r="L243" s="707"/>
      <c r="M243" s="707"/>
      <c r="N243" s="707"/>
      <c r="O243" s="707"/>
      <c r="P243" s="707"/>
      <c r="Q243" s="707"/>
      <c r="R243" s="707"/>
      <c r="S243" s="707"/>
      <c r="T243" s="707"/>
      <c r="U243" s="707"/>
      <c r="V243" s="707"/>
      <c r="W243" s="707"/>
      <c r="X243" s="707"/>
      <c r="Y243" s="707"/>
      <c r="Z243" s="707"/>
      <c r="AA243" s="36" t="str">
        <f t="shared" si="242"/>
        <v/>
      </c>
      <c r="AB243" s="288" t="str">
        <f t="shared" si="214"/>
        <v/>
      </c>
      <c r="AC243" s="288" t="str">
        <f t="shared" si="215"/>
        <v/>
      </c>
      <c r="AD243" s="288" t="str">
        <f t="shared" si="216"/>
        <v/>
      </c>
      <c r="AE243" s="288" t="str">
        <f t="shared" si="217"/>
        <v/>
      </c>
      <c r="AF243" s="288" t="str">
        <f t="shared" si="218"/>
        <v/>
      </c>
      <c r="AG243" s="288" t="str">
        <f t="shared" si="219"/>
        <v/>
      </c>
      <c r="AH243" s="288" t="str">
        <f t="shared" si="220"/>
        <v/>
      </c>
      <c r="AI243" s="36">
        <f t="shared" si="221"/>
        <v>-1</v>
      </c>
      <c r="AJ243" s="36">
        <f t="shared" si="222"/>
        <v>-1</v>
      </c>
      <c r="AK243" s="36">
        <f t="shared" si="223"/>
        <v>-1</v>
      </c>
      <c r="AL243" s="36"/>
      <c r="AM243" s="36" t="str">
        <f t="shared" si="244"/>
        <v/>
      </c>
      <c r="AN243" s="288" t="str">
        <f t="shared" si="224"/>
        <v/>
      </c>
      <c r="AO243" s="288" t="str">
        <f t="shared" si="225"/>
        <v/>
      </c>
      <c r="AP243" s="288" t="str">
        <f t="shared" si="226"/>
        <v/>
      </c>
      <c r="AQ243" s="36">
        <f t="shared" ref="AQ243:AS243" si="293">AQ242</f>
        <v>3.3793103448275866E-2</v>
      </c>
      <c r="AR243" s="36">
        <f t="shared" si="293"/>
        <v>5.9329425287356324E-2</v>
      </c>
      <c r="AS243" s="36">
        <f t="shared" si="293"/>
        <v>8.4865747126436797E-2</v>
      </c>
      <c r="AT243" s="288">
        <f t="shared" si="228"/>
        <v>0.11040206896551726</v>
      </c>
    </row>
    <row r="244" spans="2:46">
      <c r="B244" s="287"/>
      <c r="C244" s="707"/>
      <c r="D244" s="707"/>
      <c r="E244" s="707"/>
      <c r="F244" s="707"/>
      <c r="G244" s="707"/>
      <c r="H244" s="707"/>
      <c r="I244" s="707"/>
      <c r="J244" s="707"/>
      <c r="K244" s="707"/>
      <c r="L244" s="707"/>
      <c r="M244" s="707"/>
      <c r="N244" s="707"/>
      <c r="O244" s="707"/>
      <c r="P244" s="707"/>
      <c r="Q244" s="707"/>
      <c r="R244" s="707"/>
      <c r="S244" s="707"/>
      <c r="T244" s="707"/>
      <c r="U244" s="707"/>
      <c r="V244" s="707"/>
      <c r="W244" s="707"/>
      <c r="X244" s="707"/>
      <c r="Y244" s="707"/>
      <c r="Z244" s="707"/>
      <c r="AA244" s="36" t="str">
        <f t="shared" si="242"/>
        <v/>
      </c>
      <c r="AB244" s="288" t="str">
        <f t="shared" ref="AB244:AB307" si="294">IF(AA244="", "", AE244-(3*STDEV(AA:AA)))</f>
        <v/>
      </c>
      <c r="AC244" s="288" t="str">
        <f t="shared" ref="AC244:AC307" si="295">IF(AA244="", "",AE244-(2*STDEV(AA:AA)))</f>
        <v/>
      </c>
      <c r="AD244" s="288" t="str">
        <f t="shared" ref="AD244:AD307" si="296">IF(AA244="", "", AE244-STDEV(AA:AA))</f>
        <v/>
      </c>
      <c r="AE244" s="288" t="str">
        <f t="shared" ref="AE244:AE307" si="297">IF(AA244="", "", AVERAGE(AA:AA))</f>
        <v/>
      </c>
      <c r="AF244" s="288" t="str">
        <f t="shared" ref="AF244:AF307" si="298">IF(AC244="", "", AE244+STDEV(AA:AA))</f>
        <v/>
      </c>
      <c r="AG244" s="288" t="str">
        <f t="shared" ref="AG244:AG307" si="299">IF(AE244="", "",AE244+(2*STDEV(AA:AA)))</f>
        <v/>
      </c>
      <c r="AH244" s="288" t="str">
        <f t="shared" ref="AH244:AH307" si="300">IF(AG244="", "", AE244+(3*STDEV(AA:AA)))</f>
        <v/>
      </c>
      <c r="AI244" s="36">
        <f t="shared" ref="AI244:AI307" si="301">IF(OR(AA244&gt;AH244,AA244&lt;AB244),AA244,-1)</f>
        <v>-1</v>
      </c>
      <c r="AJ244" s="36">
        <f t="shared" ref="AJ244:AJ307" si="302">IF(IF(AA243&gt;AG243,1,0)+IF(AA244&gt;AG244,1,0)+IF(AA245&gt;AG245,1,0)+IF(AA243&lt;AC243,1,0)+IF(AA244&lt;AC244,1,0)+IF(AA245&lt;AC245,1,0)&gt;=2,AA244,-1)</f>
        <v>-1</v>
      </c>
      <c r="AK244" s="36">
        <f t="shared" ref="AK244:AK307" si="303">IF(IF(AA242&lt;AD242,1,0)+IF(AA244&lt;AD244,1,0)+IF(AA245&lt;AD245,1,0)+IF(AA246&lt;AD246,1,0)+IF(AA243&lt;AD243,1,0)+IF(AA242&gt;AF242,1,0)+IF(AA243&gt;AF243,1,0)+IF(AA244&gt;AF244,1,0)+IF(AA245&gt;AF245,1,0)+IF(AA246&gt;AF246,1,0)&gt;4,AA244,-1)</f>
        <v>-1</v>
      </c>
      <c r="AL244" s="36"/>
      <c r="AM244" s="36" t="str">
        <f t="shared" si="244"/>
        <v/>
      </c>
      <c r="AN244" s="288" t="str">
        <f t="shared" ref="AN244:AN307" si="304">IF(AM244="", "", AQ244-(3*STDEV(AM:AM)))</f>
        <v/>
      </c>
      <c r="AO244" s="288" t="str">
        <f t="shared" ref="AO244:AO307" si="305">IF(AM244="", "", IF($AQ244-(2*(($AT244-$AQ244)/3))&lt;0, 0, $AQ244-(2*(($AT244-$AQ244)/3))))</f>
        <v/>
      </c>
      <c r="AP244" s="288" t="str">
        <f t="shared" ref="AP244:AP307" si="306">IF(AM244="", "", IF($AQ244-(($AT244-$AQ244)/3)&lt;0, 0, $AQ243-(($AT243-$AQ243)/3)))</f>
        <v/>
      </c>
      <c r="AQ244" s="36">
        <f t="shared" ref="AQ244:AS244" si="307">AQ243</f>
        <v>3.3793103448275866E-2</v>
      </c>
      <c r="AR244" s="36">
        <f t="shared" si="307"/>
        <v>5.9329425287356324E-2</v>
      </c>
      <c r="AS244" s="36">
        <f t="shared" si="307"/>
        <v>8.4865747126436797E-2</v>
      </c>
      <c r="AT244" s="288">
        <f t="shared" ref="AT244:AT307" si="308">$BM$3*AQ244</f>
        <v>0.11040206896551726</v>
      </c>
    </row>
    <row r="245" spans="2:46">
      <c r="B245" s="287"/>
      <c r="C245" s="707"/>
      <c r="D245" s="707"/>
      <c r="E245" s="707"/>
      <c r="F245" s="707"/>
      <c r="G245" s="707"/>
      <c r="H245" s="707"/>
      <c r="I245" s="707"/>
      <c r="J245" s="707"/>
      <c r="K245" s="707"/>
      <c r="L245" s="707"/>
      <c r="M245" s="707"/>
      <c r="N245" s="707"/>
      <c r="O245" s="707"/>
      <c r="P245" s="707"/>
      <c r="Q245" s="707"/>
      <c r="R245" s="707"/>
      <c r="S245" s="707"/>
      <c r="T245" s="707"/>
      <c r="U245" s="707"/>
      <c r="V245" s="707"/>
      <c r="W245" s="707"/>
      <c r="X245" s="707"/>
      <c r="Y245" s="707"/>
      <c r="Z245" s="707"/>
      <c r="AA245" s="36" t="str">
        <f t="shared" si="242"/>
        <v/>
      </c>
      <c r="AB245" s="288" t="str">
        <f t="shared" si="294"/>
        <v/>
      </c>
      <c r="AC245" s="288" t="str">
        <f t="shared" si="295"/>
        <v/>
      </c>
      <c r="AD245" s="288" t="str">
        <f t="shared" si="296"/>
        <v/>
      </c>
      <c r="AE245" s="288" t="str">
        <f t="shared" si="297"/>
        <v/>
      </c>
      <c r="AF245" s="288" t="str">
        <f t="shared" si="298"/>
        <v/>
      </c>
      <c r="AG245" s="288" t="str">
        <f t="shared" si="299"/>
        <v/>
      </c>
      <c r="AH245" s="288" t="str">
        <f t="shared" si="300"/>
        <v/>
      </c>
      <c r="AI245" s="36">
        <f t="shared" si="301"/>
        <v>-1</v>
      </c>
      <c r="AJ245" s="36">
        <f t="shared" si="302"/>
        <v>-1</v>
      </c>
      <c r="AK245" s="36">
        <f t="shared" si="303"/>
        <v>-1</v>
      </c>
      <c r="AL245" s="36"/>
      <c r="AM245" s="36" t="str">
        <f t="shared" si="244"/>
        <v/>
      </c>
      <c r="AN245" s="288" t="str">
        <f t="shared" si="304"/>
        <v/>
      </c>
      <c r="AO245" s="288" t="str">
        <f t="shared" si="305"/>
        <v/>
      </c>
      <c r="AP245" s="288" t="str">
        <f t="shared" si="306"/>
        <v/>
      </c>
      <c r="AQ245" s="36">
        <f t="shared" ref="AQ245:AS245" si="309">AQ244</f>
        <v>3.3793103448275866E-2</v>
      </c>
      <c r="AR245" s="36">
        <f t="shared" si="309"/>
        <v>5.9329425287356324E-2</v>
      </c>
      <c r="AS245" s="36">
        <f t="shared" si="309"/>
        <v>8.4865747126436797E-2</v>
      </c>
      <c r="AT245" s="288">
        <f t="shared" si="308"/>
        <v>0.11040206896551726</v>
      </c>
    </row>
    <row r="246" spans="2:46">
      <c r="B246" s="287"/>
      <c r="C246" s="707"/>
      <c r="D246" s="707"/>
      <c r="E246" s="707"/>
      <c r="F246" s="707"/>
      <c r="G246" s="707"/>
      <c r="H246" s="707"/>
      <c r="I246" s="707"/>
      <c r="J246" s="707"/>
      <c r="K246" s="707"/>
      <c r="L246" s="707"/>
      <c r="M246" s="707"/>
      <c r="N246" s="707"/>
      <c r="O246" s="707"/>
      <c r="P246" s="707"/>
      <c r="Q246" s="707"/>
      <c r="R246" s="707"/>
      <c r="S246" s="707"/>
      <c r="T246" s="707"/>
      <c r="U246" s="707"/>
      <c r="V246" s="707"/>
      <c r="W246" s="707"/>
      <c r="X246" s="707"/>
      <c r="Y246" s="707"/>
      <c r="Z246" s="707"/>
      <c r="AA246" s="36" t="str">
        <f t="shared" si="242"/>
        <v/>
      </c>
      <c r="AB246" s="288" t="str">
        <f t="shared" si="294"/>
        <v/>
      </c>
      <c r="AC246" s="288" t="str">
        <f t="shared" si="295"/>
        <v/>
      </c>
      <c r="AD246" s="288" t="str">
        <f t="shared" si="296"/>
        <v/>
      </c>
      <c r="AE246" s="288" t="str">
        <f t="shared" si="297"/>
        <v/>
      </c>
      <c r="AF246" s="288" t="str">
        <f t="shared" si="298"/>
        <v/>
      </c>
      <c r="AG246" s="288" t="str">
        <f t="shared" si="299"/>
        <v/>
      </c>
      <c r="AH246" s="288" t="str">
        <f t="shared" si="300"/>
        <v/>
      </c>
      <c r="AI246" s="36">
        <f t="shared" si="301"/>
        <v>-1</v>
      </c>
      <c r="AJ246" s="36">
        <f t="shared" si="302"/>
        <v>-1</v>
      </c>
      <c r="AK246" s="36">
        <f t="shared" si="303"/>
        <v>-1</v>
      </c>
      <c r="AL246" s="36"/>
      <c r="AM246" s="36" t="str">
        <f t="shared" si="244"/>
        <v/>
      </c>
      <c r="AN246" s="288" t="str">
        <f t="shared" si="304"/>
        <v/>
      </c>
      <c r="AO246" s="288" t="str">
        <f t="shared" si="305"/>
        <v/>
      </c>
      <c r="AP246" s="288" t="str">
        <f t="shared" si="306"/>
        <v/>
      </c>
      <c r="AQ246" s="36">
        <f t="shared" ref="AQ246:AS246" si="310">AQ245</f>
        <v>3.3793103448275866E-2</v>
      </c>
      <c r="AR246" s="36">
        <f t="shared" si="310"/>
        <v>5.9329425287356324E-2</v>
      </c>
      <c r="AS246" s="36">
        <f t="shared" si="310"/>
        <v>8.4865747126436797E-2</v>
      </c>
      <c r="AT246" s="288">
        <f t="shared" si="308"/>
        <v>0.11040206896551726</v>
      </c>
    </row>
    <row r="247" spans="2:46">
      <c r="B247" s="287"/>
      <c r="C247" s="707"/>
      <c r="D247" s="707"/>
      <c r="E247" s="707"/>
      <c r="F247" s="707"/>
      <c r="G247" s="707"/>
      <c r="H247" s="707"/>
      <c r="I247" s="707"/>
      <c r="J247" s="707"/>
      <c r="K247" s="707"/>
      <c r="L247" s="707"/>
      <c r="M247" s="707"/>
      <c r="N247" s="707"/>
      <c r="O247" s="707"/>
      <c r="P247" s="707"/>
      <c r="Q247" s="707"/>
      <c r="R247" s="707"/>
      <c r="S247" s="707"/>
      <c r="T247" s="707"/>
      <c r="U247" s="707"/>
      <c r="V247" s="707"/>
      <c r="W247" s="707"/>
      <c r="X247" s="707"/>
      <c r="Y247" s="707"/>
      <c r="Z247" s="707"/>
      <c r="AA247" s="36" t="str">
        <f t="shared" si="242"/>
        <v/>
      </c>
      <c r="AB247" s="288" t="str">
        <f t="shared" si="294"/>
        <v/>
      </c>
      <c r="AC247" s="288" t="str">
        <f t="shared" si="295"/>
        <v/>
      </c>
      <c r="AD247" s="288" t="str">
        <f t="shared" si="296"/>
        <v/>
      </c>
      <c r="AE247" s="288" t="str">
        <f t="shared" si="297"/>
        <v/>
      </c>
      <c r="AF247" s="288" t="str">
        <f t="shared" si="298"/>
        <v/>
      </c>
      <c r="AG247" s="288" t="str">
        <f t="shared" si="299"/>
        <v/>
      </c>
      <c r="AH247" s="288" t="str">
        <f t="shared" si="300"/>
        <v/>
      </c>
      <c r="AI247" s="36">
        <f t="shared" si="301"/>
        <v>-1</v>
      </c>
      <c r="AJ247" s="36">
        <f t="shared" si="302"/>
        <v>-1</v>
      </c>
      <c r="AK247" s="36">
        <f t="shared" si="303"/>
        <v>-1</v>
      </c>
      <c r="AL247" s="36"/>
      <c r="AM247" s="36" t="str">
        <f t="shared" si="244"/>
        <v/>
      </c>
      <c r="AN247" s="288" t="str">
        <f t="shared" si="304"/>
        <v/>
      </c>
      <c r="AO247" s="288" t="str">
        <f t="shared" si="305"/>
        <v/>
      </c>
      <c r="AP247" s="288" t="str">
        <f t="shared" si="306"/>
        <v/>
      </c>
      <c r="AQ247" s="36">
        <f t="shared" ref="AQ247:AS247" si="311">AQ246</f>
        <v>3.3793103448275866E-2</v>
      </c>
      <c r="AR247" s="36">
        <f t="shared" si="311"/>
        <v>5.9329425287356324E-2</v>
      </c>
      <c r="AS247" s="36">
        <f t="shared" si="311"/>
        <v>8.4865747126436797E-2</v>
      </c>
      <c r="AT247" s="288">
        <f t="shared" si="308"/>
        <v>0.11040206896551726</v>
      </c>
    </row>
    <row r="248" spans="2:46">
      <c r="B248" s="287"/>
      <c r="C248" s="707"/>
      <c r="D248" s="707"/>
      <c r="E248" s="707"/>
      <c r="F248" s="707"/>
      <c r="G248" s="707"/>
      <c r="H248" s="707"/>
      <c r="I248" s="707"/>
      <c r="J248" s="707"/>
      <c r="K248" s="707"/>
      <c r="L248" s="707"/>
      <c r="M248" s="707"/>
      <c r="N248" s="707"/>
      <c r="O248" s="707"/>
      <c r="P248" s="707"/>
      <c r="Q248" s="707"/>
      <c r="R248" s="707"/>
      <c r="S248" s="707"/>
      <c r="T248" s="707"/>
      <c r="U248" s="707"/>
      <c r="V248" s="707"/>
      <c r="W248" s="707"/>
      <c r="X248" s="707"/>
      <c r="Y248" s="707"/>
      <c r="Z248" s="707"/>
      <c r="AA248" s="36" t="str">
        <f t="shared" si="242"/>
        <v/>
      </c>
      <c r="AB248" s="288" t="str">
        <f t="shared" si="294"/>
        <v/>
      </c>
      <c r="AC248" s="288" t="str">
        <f t="shared" si="295"/>
        <v/>
      </c>
      <c r="AD248" s="288" t="str">
        <f t="shared" si="296"/>
        <v/>
      </c>
      <c r="AE248" s="288" t="str">
        <f t="shared" si="297"/>
        <v/>
      </c>
      <c r="AF248" s="288" t="str">
        <f t="shared" si="298"/>
        <v/>
      </c>
      <c r="AG248" s="288" t="str">
        <f t="shared" si="299"/>
        <v/>
      </c>
      <c r="AH248" s="288" t="str">
        <f t="shared" si="300"/>
        <v/>
      </c>
      <c r="AI248" s="36">
        <f t="shared" si="301"/>
        <v>-1</v>
      </c>
      <c r="AJ248" s="36">
        <f t="shared" si="302"/>
        <v>-1</v>
      </c>
      <c r="AK248" s="36">
        <f t="shared" si="303"/>
        <v>-1</v>
      </c>
      <c r="AL248" s="36"/>
      <c r="AM248" s="36" t="str">
        <f t="shared" si="244"/>
        <v/>
      </c>
      <c r="AN248" s="288" t="str">
        <f t="shared" si="304"/>
        <v/>
      </c>
      <c r="AO248" s="288" t="str">
        <f t="shared" si="305"/>
        <v/>
      </c>
      <c r="AP248" s="288" t="str">
        <f t="shared" si="306"/>
        <v/>
      </c>
      <c r="AQ248" s="36">
        <f t="shared" ref="AQ248:AS248" si="312">AQ247</f>
        <v>3.3793103448275866E-2</v>
      </c>
      <c r="AR248" s="36">
        <f t="shared" si="312"/>
        <v>5.9329425287356324E-2</v>
      </c>
      <c r="AS248" s="36">
        <f t="shared" si="312"/>
        <v>8.4865747126436797E-2</v>
      </c>
      <c r="AT248" s="288">
        <f t="shared" si="308"/>
        <v>0.11040206896551726</v>
      </c>
    </row>
    <row r="249" spans="2:46">
      <c r="B249" s="287"/>
      <c r="C249" s="707"/>
      <c r="D249" s="707"/>
      <c r="E249" s="707"/>
      <c r="F249" s="707"/>
      <c r="G249" s="707"/>
      <c r="H249" s="707"/>
      <c r="I249" s="707"/>
      <c r="J249" s="707"/>
      <c r="K249" s="707"/>
      <c r="L249" s="707"/>
      <c r="M249" s="707"/>
      <c r="N249" s="707"/>
      <c r="O249" s="707"/>
      <c r="P249" s="707"/>
      <c r="Q249" s="707"/>
      <c r="R249" s="707"/>
      <c r="S249" s="707"/>
      <c r="T249" s="707"/>
      <c r="U249" s="707"/>
      <c r="V249" s="707"/>
      <c r="W249" s="707"/>
      <c r="X249" s="707"/>
      <c r="Y249" s="707"/>
      <c r="Z249" s="707"/>
      <c r="AA249" s="36" t="str">
        <f t="shared" si="242"/>
        <v/>
      </c>
      <c r="AB249" s="288" t="str">
        <f t="shared" si="294"/>
        <v/>
      </c>
      <c r="AC249" s="288" t="str">
        <f t="shared" si="295"/>
        <v/>
      </c>
      <c r="AD249" s="288" t="str">
        <f t="shared" si="296"/>
        <v/>
      </c>
      <c r="AE249" s="288" t="str">
        <f t="shared" si="297"/>
        <v/>
      </c>
      <c r="AF249" s="288" t="str">
        <f t="shared" si="298"/>
        <v/>
      </c>
      <c r="AG249" s="288" t="str">
        <f t="shared" si="299"/>
        <v/>
      </c>
      <c r="AH249" s="288" t="str">
        <f t="shared" si="300"/>
        <v/>
      </c>
      <c r="AI249" s="36">
        <f t="shared" si="301"/>
        <v>-1</v>
      </c>
      <c r="AJ249" s="36">
        <f t="shared" si="302"/>
        <v>-1</v>
      </c>
      <c r="AK249" s="36">
        <f t="shared" si="303"/>
        <v>-1</v>
      </c>
      <c r="AL249" s="36"/>
      <c r="AM249" s="36" t="str">
        <f t="shared" si="244"/>
        <v/>
      </c>
      <c r="AN249" s="288" t="str">
        <f t="shared" si="304"/>
        <v/>
      </c>
      <c r="AO249" s="288" t="str">
        <f t="shared" si="305"/>
        <v/>
      </c>
      <c r="AP249" s="288" t="str">
        <f t="shared" si="306"/>
        <v/>
      </c>
      <c r="AQ249" s="36">
        <f t="shared" ref="AQ249:AS249" si="313">AQ248</f>
        <v>3.3793103448275866E-2</v>
      </c>
      <c r="AR249" s="36">
        <f t="shared" si="313"/>
        <v>5.9329425287356324E-2</v>
      </c>
      <c r="AS249" s="36">
        <f t="shared" si="313"/>
        <v>8.4865747126436797E-2</v>
      </c>
      <c r="AT249" s="288">
        <f t="shared" si="308"/>
        <v>0.11040206896551726</v>
      </c>
    </row>
    <row r="250" spans="2:46">
      <c r="B250" s="287"/>
      <c r="C250" s="707"/>
      <c r="D250" s="707"/>
      <c r="E250" s="707"/>
      <c r="F250" s="707"/>
      <c r="G250" s="707"/>
      <c r="H250" s="707"/>
      <c r="I250" s="707"/>
      <c r="J250" s="707"/>
      <c r="K250" s="707"/>
      <c r="L250" s="707"/>
      <c r="M250" s="707"/>
      <c r="N250" s="707"/>
      <c r="O250" s="707"/>
      <c r="P250" s="707"/>
      <c r="Q250" s="707"/>
      <c r="R250" s="707"/>
      <c r="S250" s="707"/>
      <c r="T250" s="707"/>
      <c r="U250" s="707"/>
      <c r="V250" s="707"/>
      <c r="W250" s="707"/>
      <c r="X250" s="707"/>
      <c r="Y250" s="707"/>
      <c r="Z250" s="707"/>
      <c r="AA250" s="36" t="str">
        <f t="shared" si="242"/>
        <v/>
      </c>
      <c r="AB250" s="288" t="str">
        <f t="shared" si="294"/>
        <v/>
      </c>
      <c r="AC250" s="288" t="str">
        <f t="shared" si="295"/>
        <v/>
      </c>
      <c r="AD250" s="288" t="str">
        <f t="shared" si="296"/>
        <v/>
      </c>
      <c r="AE250" s="288" t="str">
        <f t="shared" si="297"/>
        <v/>
      </c>
      <c r="AF250" s="288" t="str">
        <f t="shared" si="298"/>
        <v/>
      </c>
      <c r="AG250" s="288" t="str">
        <f t="shared" si="299"/>
        <v/>
      </c>
      <c r="AH250" s="288" t="str">
        <f t="shared" si="300"/>
        <v/>
      </c>
      <c r="AI250" s="36">
        <f t="shared" si="301"/>
        <v>-1</v>
      </c>
      <c r="AJ250" s="36">
        <f t="shared" si="302"/>
        <v>-1</v>
      </c>
      <c r="AK250" s="36">
        <f t="shared" si="303"/>
        <v>-1</v>
      </c>
      <c r="AL250" s="36"/>
      <c r="AM250" s="36" t="str">
        <f t="shared" si="244"/>
        <v/>
      </c>
      <c r="AN250" s="288" t="str">
        <f t="shared" si="304"/>
        <v/>
      </c>
      <c r="AO250" s="288" t="str">
        <f t="shared" si="305"/>
        <v/>
      </c>
      <c r="AP250" s="288" t="str">
        <f t="shared" si="306"/>
        <v/>
      </c>
      <c r="AQ250" s="36">
        <f t="shared" ref="AQ250:AS250" si="314">AQ249</f>
        <v>3.3793103448275866E-2</v>
      </c>
      <c r="AR250" s="36">
        <f t="shared" si="314"/>
        <v>5.9329425287356324E-2</v>
      </c>
      <c r="AS250" s="36">
        <f t="shared" si="314"/>
        <v>8.4865747126436797E-2</v>
      </c>
      <c r="AT250" s="288">
        <f t="shared" si="308"/>
        <v>0.11040206896551726</v>
      </c>
    </row>
    <row r="251" spans="2:46">
      <c r="B251" s="287"/>
      <c r="C251" s="707"/>
      <c r="D251" s="707"/>
      <c r="E251" s="707"/>
      <c r="F251" s="707"/>
      <c r="G251" s="707"/>
      <c r="H251" s="707"/>
      <c r="I251" s="707"/>
      <c r="J251" s="707"/>
      <c r="K251" s="707"/>
      <c r="L251" s="707"/>
      <c r="M251" s="707"/>
      <c r="N251" s="707"/>
      <c r="O251" s="707"/>
      <c r="P251" s="707"/>
      <c r="Q251" s="707"/>
      <c r="R251" s="707"/>
      <c r="S251" s="707"/>
      <c r="T251" s="707"/>
      <c r="U251" s="707"/>
      <c r="V251" s="707"/>
      <c r="W251" s="707"/>
      <c r="X251" s="707"/>
      <c r="Y251" s="707"/>
      <c r="Z251" s="707"/>
      <c r="AA251" s="36" t="str">
        <f t="shared" si="242"/>
        <v/>
      </c>
      <c r="AB251" s="288" t="str">
        <f t="shared" si="294"/>
        <v/>
      </c>
      <c r="AC251" s="288" t="str">
        <f t="shared" si="295"/>
        <v/>
      </c>
      <c r="AD251" s="288" t="str">
        <f t="shared" si="296"/>
        <v/>
      </c>
      <c r="AE251" s="288" t="str">
        <f t="shared" si="297"/>
        <v/>
      </c>
      <c r="AF251" s="288" t="str">
        <f t="shared" si="298"/>
        <v/>
      </c>
      <c r="AG251" s="288" t="str">
        <f t="shared" si="299"/>
        <v/>
      </c>
      <c r="AH251" s="288" t="str">
        <f t="shared" si="300"/>
        <v/>
      </c>
      <c r="AI251" s="36">
        <f t="shared" si="301"/>
        <v>-1</v>
      </c>
      <c r="AJ251" s="36">
        <f t="shared" si="302"/>
        <v>-1</v>
      </c>
      <c r="AK251" s="36">
        <f t="shared" si="303"/>
        <v>-1</v>
      </c>
      <c r="AL251" s="36"/>
      <c r="AM251" s="36" t="str">
        <f t="shared" si="244"/>
        <v/>
      </c>
      <c r="AN251" s="288" t="str">
        <f t="shared" si="304"/>
        <v/>
      </c>
      <c r="AO251" s="288" t="str">
        <f t="shared" si="305"/>
        <v/>
      </c>
      <c r="AP251" s="288" t="str">
        <f t="shared" si="306"/>
        <v/>
      </c>
      <c r="AQ251" s="36">
        <f t="shared" ref="AQ251:AS251" si="315">AQ250</f>
        <v>3.3793103448275866E-2</v>
      </c>
      <c r="AR251" s="36">
        <f t="shared" si="315"/>
        <v>5.9329425287356324E-2</v>
      </c>
      <c r="AS251" s="36">
        <f t="shared" si="315"/>
        <v>8.4865747126436797E-2</v>
      </c>
      <c r="AT251" s="288">
        <f t="shared" si="308"/>
        <v>0.11040206896551726</v>
      </c>
    </row>
    <row r="252" spans="2:46">
      <c r="B252" s="287"/>
      <c r="C252" s="707"/>
      <c r="D252" s="707"/>
      <c r="E252" s="707"/>
      <c r="F252" s="707"/>
      <c r="G252" s="707"/>
      <c r="H252" s="707"/>
      <c r="I252" s="707"/>
      <c r="J252" s="707"/>
      <c r="K252" s="707"/>
      <c r="L252" s="707"/>
      <c r="M252" s="707"/>
      <c r="N252" s="707"/>
      <c r="O252" s="707"/>
      <c r="P252" s="707"/>
      <c r="Q252" s="707"/>
      <c r="R252" s="707"/>
      <c r="S252" s="707"/>
      <c r="T252" s="707"/>
      <c r="U252" s="707"/>
      <c r="V252" s="707"/>
      <c r="W252" s="707"/>
      <c r="X252" s="707"/>
      <c r="Y252" s="707"/>
      <c r="Z252" s="707"/>
      <c r="AA252" s="36" t="str">
        <f t="shared" si="242"/>
        <v/>
      </c>
      <c r="AB252" s="288" t="str">
        <f t="shared" si="294"/>
        <v/>
      </c>
      <c r="AC252" s="288" t="str">
        <f t="shared" si="295"/>
        <v/>
      </c>
      <c r="AD252" s="288" t="str">
        <f t="shared" si="296"/>
        <v/>
      </c>
      <c r="AE252" s="288" t="str">
        <f t="shared" si="297"/>
        <v/>
      </c>
      <c r="AF252" s="288" t="str">
        <f t="shared" si="298"/>
        <v/>
      </c>
      <c r="AG252" s="288" t="str">
        <f t="shared" si="299"/>
        <v/>
      </c>
      <c r="AH252" s="288" t="str">
        <f t="shared" si="300"/>
        <v/>
      </c>
      <c r="AI252" s="36">
        <f t="shared" si="301"/>
        <v>-1</v>
      </c>
      <c r="AJ252" s="36">
        <f t="shared" si="302"/>
        <v>-1</v>
      </c>
      <c r="AK252" s="36">
        <f t="shared" si="303"/>
        <v>-1</v>
      </c>
      <c r="AL252" s="36"/>
      <c r="AM252" s="36" t="str">
        <f t="shared" si="244"/>
        <v/>
      </c>
      <c r="AN252" s="288" t="str">
        <f t="shared" si="304"/>
        <v/>
      </c>
      <c r="AO252" s="288" t="str">
        <f t="shared" si="305"/>
        <v/>
      </c>
      <c r="AP252" s="288" t="str">
        <f t="shared" si="306"/>
        <v/>
      </c>
      <c r="AQ252" s="36">
        <f t="shared" ref="AQ252:AS252" si="316">AQ251</f>
        <v>3.3793103448275866E-2</v>
      </c>
      <c r="AR252" s="36">
        <f t="shared" si="316"/>
        <v>5.9329425287356324E-2</v>
      </c>
      <c r="AS252" s="36">
        <f t="shared" si="316"/>
        <v>8.4865747126436797E-2</v>
      </c>
      <c r="AT252" s="288">
        <f t="shared" si="308"/>
        <v>0.11040206896551726</v>
      </c>
    </row>
    <row r="253" spans="2:46">
      <c r="B253" s="287"/>
      <c r="C253" s="707"/>
      <c r="D253" s="707"/>
      <c r="E253" s="707"/>
      <c r="F253" s="707"/>
      <c r="G253" s="707"/>
      <c r="H253" s="707"/>
      <c r="I253" s="707"/>
      <c r="J253" s="707"/>
      <c r="K253" s="707"/>
      <c r="L253" s="707"/>
      <c r="M253" s="707"/>
      <c r="N253" s="707"/>
      <c r="O253" s="707"/>
      <c r="P253" s="707"/>
      <c r="Q253" s="707"/>
      <c r="R253" s="707"/>
      <c r="S253" s="707"/>
      <c r="T253" s="707"/>
      <c r="U253" s="707"/>
      <c r="V253" s="707"/>
      <c r="W253" s="707"/>
      <c r="X253" s="707"/>
      <c r="Y253" s="707"/>
      <c r="Z253" s="707"/>
      <c r="AA253" s="36" t="str">
        <f t="shared" si="242"/>
        <v/>
      </c>
      <c r="AB253" s="288" t="str">
        <f t="shared" si="294"/>
        <v/>
      </c>
      <c r="AC253" s="288" t="str">
        <f t="shared" si="295"/>
        <v/>
      </c>
      <c r="AD253" s="288" t="str">
        <f t="shared" si="296"/>
        <v/>
      </c>
      <c r="AE253" s="288" t="str">
        <f t="shared" si="297"/>
        <v/>
      </c>
      <c r="AF253" s="288" t="str">
        <f t="shared" si="298"/>
        <v/>
      </c>
      <c r="AG253" s="288" t="str">
        <f t="shared" si="299"/>
        <v/>
      </c>
      <c r="AH253" s="288" t="str">
        <f t="shared" si="300"/>
        <v/>
      </c>
      <c r="AI253" s="36">
        <f t="shared" si="301"/>
        <v>-1</v>
      </c>
      <c r="AJ253" s="36">
        <f t="shared" si="302"/>
        <v>-1</v>
      </c>
      <c r="AK253" s="36">
        <f t="shared" si="303"/>
        <v>-1</v>
      </c>
      <c r="AL253" s="36"/>
      <c r="AM253" s="36" t="str">
        <f t="shared" si="244"/>
        <v/>
      </c>
      <c r="AN253" s="288" t="str">
        <f t="shared" si="304"/>
        <v/>
      </c>
      <c r="AO253" s="288" t="str">
        <f t="shared" si="305"/>
        <v/>
      </c>
      <c r="AP253" s="288" t="str">
        <f t="shared" si="306"/>
        <v/>
      </c>
      <c r="AQ253" s="36">
        <f t="shared" ref="AQ253:AS253" si="317">AQ252</f>
        <v>3.3793103448275866E-2</v>
      </c>
      <c r="AR253" s="36">
        <f t="shared" si="317"/>
        <v>5.9329425287356324E-2</v>
      </c>
      <c r="AS253" s="36">
        <f t="shared" si="317"/>
        <v>8.4865747126436797E-2</v>
      </c>
      <c r="AT253" s="288">
        <f t="shared" si="308"/>
        <v>0.11040206896551726</v>
      </c>
    </row>
    <row r="254" spans="2:46">
      <c r="B254" s="287"/>
      <c r="C254" s="707"/>
      <c r="D254" s="707"/>
      <c r="E254" s="707"/>
      <c r="F254" s="707"/>
      <c r="G254" s="707"/>
      <c r="H254" s="707"/>
      <c r="I254" s="707"/>
      <c r="J254" s="707"/>
      <c r="K254" s="707"/>
      <c r="L254" s="707"/>
      <c r="M254" s="707"/>
      <c r="N254" s="707"/>
      <c r="O254" s="707"/>
      <c r="P254" s="707"/>
      <c r="Q254" s="707"/>
      <c r="R254" s="707"/>
      <c r="S254" s="707"/>
      <c r="T254" s="707"/>
      <c r="U254" s="707"/>
      <c r="V254" s="707"/>
      <c r="W254" s="707"/>
      <c r="X254" s="707"/>
      <c r="Y254" s="707"/>
      <c r="Z254" s="707"/>
      <c r="AA254" s="36" t="str">
        <f t="shared" si="242"/>
        <v/>
      </c>
      <c r="AB254" s="288" t="str">
        <f t="shared" si="294"/>
        <v/>
      </c>
      <c r="AC254" s="288" t="str">
        <f t="shared" si="295"/>
        <v/>
      </c>
      <c r="AD254" s="288" t="str">
        <f t="shared" si="296"/>
        <v/>
      </c>
      <c r="AE254" s="288" t="str">
        <f t="shared" si="297"/>
        <v/>
      </c>
      <c r="AF254" s="288" t="str">
        <f t="shared" si="298"/>
        <v/>
      </c>
      <c r="AG254" s="288" t="str">
        <f t="shared" si="299"/>
        <v/>
      </c>
      <c r="AH254" s="288" t="str">
        <f t="shared" si="300"/>
        <v/>
      </c>
      <c r="AI254" s="36">
        <f t="shared" si="301"/>
        <v>-1</v>
      </c>
      <c r="AJ254" s="36">
        <f t="shared" si="302"/>
        <v>-1</v>
      </c>
      <c r="AK254" s="36">
        <f t="shared" si="303"/>
        <v>-1</v>
      </c>
      <c r="AL254" s="36"/>
      <c r="AM254" s="36" t="str">
        <f t="shared" si="244"/>
        <v/>
      </c>
      <c r="AN254" s="288" t="str">
        <f t="shared" si="304"/>
        <v/>
      </c>
      <c r="AO254" s="288" t="str">
        <f t="shared" si="305"/>
        <v/>
      </c>
      <c r="AP254" s="288" t="str">
        <f t="shared" si="306"/>
        <v/>
      </c>
      <c r="AQ254" s="36">
        <f t="shared" ref="AQ254:AS254" si="318">AQ253</f>
        <v>3.3793103448275866E-2</v>
      </c>
      <c r="AR254" s="36">
        <f t="shared" si="318"/>
        <v>5.9329425287356324E-2</v>
      </c>
      <c r="AS254" s="36">
        <f t="shared" si="318"/>
        <v>8.4865747126436797E-2</v>
      </c>
      <c r="AT254" s="288">
        <f t="shared" si="308"/>
        <v>0.11040206896551726</v>
      </c>
    </row>
    <row r="255" spans="2:46">
      <c r="B255" s="287"/>
      <c r="C255" s="707"/>
      <c r="D255" s="707"/>
      <c r="E255" s="707"/>
      <c r="F255" s="707"/>
      <c r="G255" s="707"/>
      <c r="H255" s="707"/>
      <c r="I255" s="707"/>
      <c r="J255" s="707"/>
      <c r="K255" s="707"/>
      <c r="L255" s="707"/>
      <c r="M255" s="707"/>
      <c r="N255" s="707"/>
      <c r="O255" s="707"/>
      <c r="P255" s="707"/>
      <c r="Q255" s="707"/>
      <c r="R255" s="707"/>
      <c r="S255" s="707"/>
      <c r="T255" s="707"/>
      <c r="U255" s="707"/>
      <c r="V255" s="707"/>
      <c r="W255" s="707"/>
      <c r="X255" s="707"/>
      <c r="Y255" s="707"/>
      <c r="Z255" s="707"/>
      <c r="AA255" s="36" t="str">
        <f t="shared" si="242"/>
        <v/>
      </c>
      <c r="AB255" s="288" t="str">
        <f t="shared" si="294"/>
        <v/>
      </c>
      <c r="AC255" s="288" t="str">
        <f t="shared" si="295"/>
        <v/>
      </c>
      <c r="AD255" s="288" t="str">
        <f t="shared" si="296"/>
        <v/>
      </c>
      <c r="AE255" s="288" t="str">
        <f t="shared" si="297"/>
        <v/>
      </c>
      <c r="AF255" s="288" t="str">
        <f t="shared" si="298"/>
        <v/>
      </c>
      <c r="AG255" s="288" t="str">
        <f t="shared" si="299"/>
        <v/>
      </c>
      <c r="AH255" s="288" t="str">
        <f t="shared" si="300"/>
        <v/>
      </c>
      <c r="AI255" s="36">
        <f t="shared" si="301"/>
        <v>-1</v>
      </c>
      <c r="AJ255" s="36">
        <f t="shared" si="302"/>
        <v>-1</v>
      </c>
      <c r="AK255" s="36">
        <f t="shared" si="303"/>
        <v>-1</v>
      </c>
      <c r="AL255" s="36"/>
      <c r="AM255" s="36" t="str">
        <f t="shared" si="244"/>
        <v/>
      </c>
      <c r="AN255" s="288" t="str">
        <f t="shared" si="304"/>
        <v/>
      </c>
      <c r="AO255" s="288" t="str">
        <f t="shared" si="305"/>
        <v/>
      </c>
      <c r="AP255" s="288" t="str">
        <f t="shared" si="306"/>
        <v/>
      </c>
      <c r="AQ255" s="36">
        <f t="shared" ref="AQ255:AS255" si="319">AQ254</f>
        <v>3.3793103448275866E-2</v>
      </c>
      <c r="AR255" s="36">
        <f t="shared" si="319"/>
        <v>5.9329425287356324E-2</v>
      </c>
      <c r="AS255" s="36">
        <f t="shared" si="319"/>
        <v>8.4865747126436797E-2</v>
      </c>
      <c r="AT255" s="288">
        <f t="shared" si="308"/>
        <v>0.11040206896551726</v>
      </c>
    </row>
    <row r="256" spans="2:46">
      <c r="B256" s="287"/>
      <c r="C256" s="707"/>
      <c r="D256" s="707"/>
      <c r="E256" s="707"/>
      <c r="F256" s="707"/>
      <c r="G256" s="707"/>
      <c r="H256" s="707"/>
      <c r="I256" s="707"/>
      <c r="J256" s="707"/>
      <c r="K256" s="707"/>
      <c r="L256" s="707"/>
      <c r="M256" s="707"/>
      <c r="N256" s="707"/>
      <c r="O256" s="707"/>
      <c r="P256" s="707"/>
      <c r="Q256" s="707"/>
      <c r="R256" s="707"/>
      <c r="S256" s="707"/>
      <c r="T256" s="707"/>
      <c r="U256" s="707"/>
      <c r="V256" s="707"/>
      <c r="W256" s="707"/>
      <c r="X256" s="707"/>
      <c r="Y256" s="707"/>
      <c r="Z256" s="707"/>
      <c r="AA256" s="36" t="str">
        <f t="shared" si="242"/>
        <v/>
      </c>
      <c r="AB256" s="288" t="str">
        <f t="shared" si="294"/>
        <v/>
      </c>
      <c r="AC256" s="288" t="str">
        <f t="shared" si="295"/>
        <v/>
      </c>
      <c r="AD256" s="288" t="str">
        <f t="shared" si="296"/>
        <v/>
      </c>
      <c r="AE256" s="288" t="str">
        <f t="shared" si="297"/>
        <v/>
      </c>
      <c r="AF256" s="288" t="str">
        <f t="shared" si="298"/>
        <v/>
      </c>
      <c r="AG256" s="288" t="str">
        <f t="shared" si="299"/>
        <v/>
      </c>
      <c r="AH256" s="288" t="str">
        <f t="shared" si="300"/>
        <v/>
      </c>
      <c r="AI256" s="36">
        <f t="shared" si="301"/>
        <v>-1</v>
      </c>
      <c r="AJ256" s="36">
        <f t="shared" si="302"/>
        <v>-1</v>
      </c>
      <c r="AK256" s="36">
        <f t="shared" si="303"/>
        <v>-1</v>
      </c>
      <c r="AL256" s="36"/>
      <c r="AM256" s="36" t="str">
        <f t="shared" si="244"/>
        <v/>
      </c>
      <c r="AN256" s="288" t="str">
        <f t="shared" si="304"/>
        <v/>
      </c>
      <c r="AO256" s="288" t="str">
        <f t="shared" si="305"/>
        <v/>
      </c>
      <c r="AP256" s="288" t="str">
        <f t="shared" si="306"/>
        <v/>
      </c>
      <c r="AQ256" s="36">
        <f t="shared" ref="AQ256:AS256" si="320">AQ255</f>
        <v>3.3793103448275866E-2</v>
      </c>
      <c r="AR256" s="36">
        <f t="shared" si="320"/>
        <v>5.9329425287356324E-2</v>
      </c>
      <c r="AS256" s="36">
        <f t="shared" si="320"/>
        <v>8.4865747126436797E-2</v>
      </c>
      <c r="AT256" s="288">
        <f t="shared" si="308"/>
        <v>0.11040206896551726</v>
      </c>
    </row>
    <row r="257" spans="2:46">
      <c r="B257" s="287"/>
      <c r="C257" s="707"/>
      <c r="D257" s="707"/>
      <c r="E257" s="707"/>
      <c r="F257" s="707"/>
      <c r="G257" s="707"/>
      <c r="H257" s="707"/>
      <c r="I257" s="707"/>
      <c r="J257" s="707"/>
      <c r="K257" s="707"/>
      <c r="L257" s="707"/>
      <c r="M257" s="707"/>
      <c r="N257" s="707"/>
      <c r="O257" s="707"/>
      <c r="P257" s="707"/>
      <c r="Q257" s="707"/>
      <c r="R257" s="707"/>
      <c r="S257" s="707"/>
      <c r="T257" s="707"/>
      <c r="U257" s="707"/>
      <c r="V257" s="707"/>
      <c r="W257" s="707"/>
      <c r="X257" s="707"/>
      <c r="Y257" s="707"/>
      <c r="Z257" s="707"/>
      <c r="AA257" s="36" t="str">
        <f t="shared" si="242"/>
        <v/>
      </c>
      <c r="AB257" s="288" t="str">
        <f t="shared" si="294"/>
        <v/>
      </c>
      <c r="AC257" s="288" t="str">
        <f t="shared" si="295"/>
        <v/>
      </c>
      <c r="AD257" s="288" t="str">
        <f t="shared" si="296"/>
        <v/>
      </c>
      <c r="AE257" s="288" t="str">
        <f t="shared" si="297"/>
        <v/>
      </c>
      <c r="AF257" s="288" t="str">
        <f t="shared" si="298"/>
        <v/>
      </c>
      <c r="AG257" s="288" t="str">
        <f t="shared" si="299"/>
        <v/>
      </c>
      <c r="AH257" s="288" t="str">
        <f t="shared" si="300"/>
        <v/>
      </c>
      <c r="AI257" s="36">
        <f t="shared" si="301"/>
        <v>-1</v>
      </c>
      <c r="AJ257" s="36">
        <f t="shared" si="302"/>
        <v>-1</v>
      </c>
      <c r="AK257" s="36">
        <f t="shared" si="303"/>
        <v>-1</v>
      </c>
      <c r="AL257" s="36"/>
      <c r="AM257" s="36" t="str">
        <f t="shared" si="244"/>
        <v/>
      </c>
      <c r="AN257" s="288" t="str">
        <f t="shared" si="304"/>
        <v/>
      </c>
      <c r="AO257" s="288" t="str">
        <f t="shared" si="305"/>
        <v/>
      </c>
      <c r="AP257" s="288" t="str">
        <f t="shared" si="306"/>
        <v/>
      </c>
      <c r="AQ257" s="36">
        <f t="shared" ref="AQ257:AS257" si="321">AQ256</f>
        <v>3.3793103448275866E-2</v>
      </c>
      <c r="AR257" s="36">
        <f t="shared" si="321"/>
        <v>5.9329425287356324E-2</v>
      </c>
      <c r="AS257" s="36">
        <f t="shared" si="321"/>
        <v>8.4865747126436797E-2</v>
      </c>
      <c r="AT257" s="288">
        <f t="shared" si="308"/>
        <v>0.11040206896551726</v>
      </c>
    </row>
    <row r="258" spans="2:46">
      <c r="B258" s="287"/>
      <c r="C258" s="707"/>
      <c r="D258" s="707"/>
      <c r="E258" s="707"/>
      <c r="F258" s="707"/>
      <c r="G258" s="707"/>
      <c r="H258" s="707"/>
      <c r="I258" s="707"/>
      <c r="J258" s="707"/>
      <c r="K258" s="707"/>
      <c r="L258" s="707"/>
      <c r="M258" s="707"/>
      <c r="N258" s="707"/>
      <c r="O258" s="707"/>
      <c r="P258" s="707"/>
      <c r="Q258" s="707"/>
      <c r="R258" s="707"/>
      <c r="S258" s="707"/>
      <c r="T258" s="707"/>
      <c r="U258" s="707"/>
      <c r="V258" s="707"/>
      <c r="W258" s="707"/>
      <c r="X258" s="707"/>
      <c r="Y258" s="707"/>
      <c r="Z258" s="707"/>
      <c r="AA258" s="36" t="str">
        <f t="shared" ref="AA258:AA321" si="322">IF(B258="","",B258)</f>
        <v/>
      </c>
      <c r="AB258" s="288" t="str">
        <f t="shared" si="294"/>
        <v/>
      </c>
      <c r="AC258" s="288" t="str">
        <f t="shared" si="295"/>
        <v/>
      </c>
      <c r="AD258" s="288" t="str">
        <f t="shared" si="296"/>
        <v/>
      </c>
      <c r="AE258" s="288" t="str">
        <f t="shared" si="297"/>
        <v/>
      </c>
      <c r="AF258" s="288" t="str">
        <f t="shared" si="298"/>
        <v/>
      </c>
      <c r="AG258" s="288" t="str">
        <f t="shared" si="299"/>
        <v/>
      </c>
      <c r="AH258" s="288" t="str">
        <f t="shared" si="300"/>
        <v/>
      </c>
      <c r="AI258" s="36">
        <f t="shared" si="301"/>
        <v>-1</v>
      </c>
      <c r="AJ258" s="36">
        <f t="shared" si="302"/>
        <v>-1</v>
      </c>
      <c r="AK258" s="36">
        <f t="shared" si="303"/>
        <v>-1</v>
      </c>
      <c r="AL258" s="36"/>
      <c r="AM258" s="36" t="str">
        <f t="shared" si="244"/>
        <v/>
      </c>
      <c r="AN258" s="288" t="str">
        <f t="shared" si="304"/>
        <v/>
      </c>
      <c r="AO258" s="288" t="str">
        <f t="shared" si="305"/>
        <v/>
      </c>
      <c r="AP258" s="288" t="str">
        <f t="shared" si="306"/>
        <v/>
      </c>
      <c r="AQ258" s="36">
        <f t="shared" ref="AQ258:AS258" si="323">AQ257</f>
        <v>3.3793103448275866E-2</v>
      </c>
      <c r="AR258" s="36">
        <f t="shared" si="323"/>
        <v>5.9329425287356324E-2</v>
      </c>
      <c r="AS258" s="36">
        <f t="shared" si="323"/>
        <v>8.4865747126436797E-2</v>
      </c>
      <c r="AT258" s="288">
        <f t="shared" si="308"/>
        <v>0.11040206896551726</v>
      </c>
    </row>
    <row r="259" spans="2:46">
      <c r="B259" s="287"/>
      <c r="C259" s="707"/>
      <c r="D259" s="707"/>
      <c r="E259" s="707"/>
      <c r="F259" s="707"/>
      <c r="G259" s="707"/>
      <c r="H259" s="707"/>
      <c r="I259" s="707"/>
      <c r="J259" s="707"/>
      <c r="K259" s="707"/>
      <c r="L259" s="707"/>
      <c r="M259" s="707"/>
      <c r="N259" s="707"/>
      <c r="O259" s="707"/>
      <c r="P259" s="707"/>
      <c r="Q259" s="707"/>
      <c r="R259" s="707"/>
      <c r="S259" s="707"/>
      <c r="T259" s="707"/>
      <c r="U259" s="707"/>
      <c r="V259" s="707"/>
      <c r="W259" s="707"/>
      <c r="X259" s="707"/>
      <c r="Y259" s="707"/>
      <c r="Z259" s="707"/>
      <c r="AA259" s="36" t="str">
        <f t="shared" si="322"/>
        <v/>
      </c>
      <c r="AB259" s="288" t="str">
        <f t="shared" si="294"/>
        <v/>
      </c>
      <c r="AC259" s="288" t="str">
        <f t="shared" si="295"/>
        <v/>
      </c>
      <c r="AD259" s="288" t="str">
        <f t="shared" si="296"/>
        <v/>
      </c>
      <c r="AE259" s="288" t="str">
        <f t="shared" si="297"/>
        <v/>
      </c>
      <c r="AF259" s="288" t="str">
        <f t="shared" si="298"/>
        <v/>
      </c>
      <c r="AG259" s="288" t="str">
        <f t="shared" si="299"/>
        <v/>
      </c>
      <c r="AH259" s="288" t="str">
        <f t="shared" si="300"/>
        <v/>
      </c>
      <c r="AI259" s="36">
        <f t="shared" si="301"/>
        <v>-1</v>
      </c>
      <c r="AJ259" s="36">
        <f t="shared" si="302"/>
        <v>-1</v>
      </c>
      <c r="AK259" s="36">
        <f t="shared" si="303"/>
        <v>-1</v>
      </c>
      <c r="AL259" s="36"/>
      <c r="AM259" s="36" t="str">
        <f t="shared" ref="AM259:AM322" si="324">IF(B259="", "", ABS(B259-B258))</f>
        <v/>
      </c>
      <c r="AN259" s="288" t="str">
        <f t="shared" si="304"/>
        <v/>
      </c>
      <c r="AO259" s="288" t="str">
        <f t="shared" si="305"/>
        <v/>
      </c>
      <c r="AP259" s="288" t="str">
        <f t="shared" si="306"/>
        <v/>
      </c>
      <c r="AQ259" s="36">
        <f t="shared" ref="AQ259:AS259" si="325">AQ258</f>
        <v>3.3793103448275866E-2</v>
      </c>
      <c r="AR259" s="36">
        <f t="shared" si="325"/>
        <v>5.9329425287356324E-2</v>
      </c>
      <c r="AS259" s="36">
        <f t="shared" si="325"/>
        <v>8.4865747126436797E-2</v>
      </c>
      <c r="AT259" s="288">
        <f t="shared" si="308"/>
        <v>0.11040206896551726</v>
      </c>
    </row>
    <row r="260" spans="2:46">
      <c r="B260" s="287"/>
      <c r="C260" s="707"/>
      <c r="D260" s="707"/>
      <c r="E260" s="707"/>
      <c r="F260" s="707"/>
      <c r="G260" s="707"/>
      <c r="H260" s="707"/>
      <c r="I260" s="707"/>
      <c r="J260" s="707"/>
      <c r="K260" s="707"/>
      <c r="L260" s="707"/>
      <c r="M260" s="707"/>
      <c r="N260" s="707"/>
      <c r="O260" s="707"/>
      <c r="P260" s="707"/>
      <c r="Q260" s="707"/>
      <c r="R260" s="707"/>
      <c r="S260" s="707"/>
      <c r="T260" s="707"/>
      <c r="U260" s="707"/>
      <c r="V260" s="707"/>
      <c r="W260" s="707"/>
      <c r="X260" s="707"/>
      <c r="Y260" s="707"/>
      <c r="Z260" s="707"/>
      <c r="AA260" s="36" t="str">
        <f t="shared" si="322"/>
        <v/>
      </c>
      <c r="AB260" s="288" t="str">
        <f t="shared" si="294"/>
        <v/>
      </c>
      <c r="AC260" s="288" t="str">
        <f t="shared" si="295"/>
        <v/>
      </c>
      <c r="AD260" s="288" t="str">
        <f t="shared" si="296"/>
        <v/>
      </c>
      <c r="AE260" s="288" t="str">
        <f t="shared" si="297"/>
        <v/>
      </c>
      <c r="AF260" s="288" t="str">
        <f t="shared" si="298"/>
        <v/>
      </c>
      <c r="AG260" s="288" t="str">
        <f t="shared" si="299"/>
        <v/>
      </c>
      <c r="AH260" s="288" t="str">
        <f t="shared" si="300"/>
        <v/>
      </c>
      <c r="AI260" s="36">
        <f t="shared" si="301"/>
        <v>-1</v>
      </c>
      <c r="AJ260" s="36">
        <f t="shared" si="302"/>
        <v>-1</v>
      </c>
      <c r="AK260" s="36">
        <f t="shared" si="303"/>
        <v>-1</v>
      </c>
      <c r="AL260" s="36"/>
      <c r="AM260" s="36" t="str">
        <f t="shared" si="324"/>
        <v/>
      </c>
      <c r="AN260" s="288" t="str">
        <f t="shared" si="304"/>
        <v/>
      </c>
      <c r="AO260" s="288" t="str">
        <f t="shared" si="305"/>
        <v/>
      </c>
      <c r="AP260" s="288" t="str">
        <f t="shared" si="306"/>
        <v/>
      </c>
      <c r="AQ260" s="36">
        <f t="shared" ref="AQ260:AS260" si="326">AQ259</f>
        <v>3.3793103448275866E-2</v>
      </c>
      <c r="AR260" s="36">
        <f t="shared" si="326"/>
        <v>5.9329425287356324E-2</v>
      </c>
      <c r="AS260" s="36">
        <f t="shared" si="326"/>
        <v>8.4865747126436797E-2</v>
      </c>
      <c r="AT260" s="288">
        <f t="shared" si="308"/>
        <v>0.11040206896551726</v>
      </c>
    </row>
    <row r="261" spans="2:46">
      <c r="B261" s="287"/>
      <c r="C261" s="707"/>
      <c r="D261" s="707"/>
      <c r="E261" s="707"/>
      <c r="F261" s="707"/>
      <c r="G261" s="707"/>
      <c r="H261" s="707"/>
      <c r="I261" s="707"/>
      <c r="J261" s="707"/>
      <c r="K261" s="707"/>
      <c r="L261" s="707"/>
      <c r="M261" s="707"/>
      <c r="N261" s="707"/>
      <c r="O261" s="707"/>
      <c r="P261" s="707"/>
      <c r="Q261" s="707"/>
      <c r="R261" s="707"/>
      <c r="S261" s="707"/>
      <c r="T261" s="707"/>
      <c r="U261" s="707"/>
      <c r="V261" s="707"/>
      <c r="W261" s="707"/>
      <c r="X261" s="707"/>
      <c r="Y261" s="707"/>
      <c r="Z261" s="707"/>
      <c r="AA261" s="36" t="str">
        <f t="shared" si="322"/>
        <v/>
      </c>
      <c r="AB261" s="288" t="str">
        <f t="shared" si="294"/>
        <v/>
      </c>
      <c r="AC261" s="288" t="str">
        <f t="shared" si="295"/>
        <v/>
      </c>
      <c r="AD261" s="288" t="str">
        <f t="shared" si="296"/>
        <v/>
      </c>
      <c r="AE261" s="288" t="str">
        <f t="shared" si="297"/>
        <v/>
      </c>
      <c r="AF261" s="288" t="str">
        <f t="shared" si="298"/>
        <v/>
      </c>
      <c r="AG261" s="288" t="str">
        <f t="shared" si="299"/>
        <v/>
      </c>
      <c r="AH261" s="288" t="str">
        <f t="shared" si="300"/>
        <v/>
      </c>
      <c r="AI261" s="36">
        <f t="shared" si="301"/>
        <v>-1</v>
      </c>
      <c r="AJ261" s="36">
        <f t="shared" si="302"/>
        <v>-1</v>
      </c>
      <c r="AK261" s="36">
        <f t="shared" si="303"/>
        <v>-1</v>
      </c>
      <c r="AL261" s="36"/>
      <c r="AM261" s="36" t="str">
        <f t="shared" si="324"/>
        <v/>
      </c>
      <c r="AN261" s="288" t="str">
        <f t="shared" si="304"/>
        <v/>
      </c>
      <c r="AO261" s="288" t="str">
        <f t="shared" si="305"/>
        <v/>
      </c>
      <c r="AP261" s="288" t="str">
        <f t="shared" si="306"/>
        <v/>
      </c>
      <c r="AQ261" s="36">
        <f t="shared" ref="AQ261:AS261" si="327">AQ260</f>
        <v>3.3793103448275866E-2</v>
      </c>
      <c r="AR261" s="36">
        <f t="shared" si="327"/>
        <v>5.9329425287356324E-2</v>
      </c>
      <c r="AS261" s="36">
        <f t="shared" si="327"/>
        <v>8.4865747126436797E-2</v>
      </c>
      <c r="AT261" s="288">
        <f t="shared" si="308"/>
        <v>0.11040206896551726</v>
      </c>
    </row>
    <row r="262" spans="2:46">
      <c r="B262" s="287"/>
      <c r="C262" s="707"/>
      <c r="D262" s="707"/>
      <c r="E262" s="707"/>
      <c r="F262" s="707"/>
      <c r="G262" s="707"/>
      <c r="H262" s="707"/>
      <c r="I262" s="707"/>
      <c r="J262" s="707"/>
      <c r="K262" s="707"/>
      <c r="L262" s="707"/>
      <c r="M262" s="707"/>
      <c r="N262" s="707"/>
      <c r="O262" s="707"/>
      <c r="P262" s="707"/>
      <c r="Q262" s="707"/>
      <c r="R262" s="707"/>
      <c r="S262" s="707"/>
      <c r="T262" s="707"/>
      <c r="U262" s="707"/>
      <c r="V262" s="707"/>
      <c r="W262" s="707"/>
      <c r="X262" s="707"/>
      <c r="Y262" s="707"/>
      <c r="Z262" s="707"/>
      <c r="AA262" s="36" t="str">
        <f t="shared" si="322"/>
        <v/>
      </c>
      <c r="AB262" s="288" t="str">
        <f t="shared" si="294"/>
        <v/>
      </c>
      <c r="AC262" s="288" t="str">
        <f t="shared" si="295"/>
        <v/>
      </c>
      <c r="AD262" s="288" t="str">
        <f t="shared" si="296"/>
        <v/>
      </c>
      <c r="AE262" s="288" t="str">
        <f t="shared" si="297"/>
        <v/>
      </c>
      <c r="AF262" s="288" t="str">
        <f t="shared" si="298"/>
        <v/>
      </c>
      <c r="AG262" s="288" t="str">
        <f t="shared" si="299"/>
        <v/>
      </c>
      <c r="AH262" s="288" t="str">
        <f t="shared" si="300"/>
        <v/>
      </c>
      <c r="AI262" s="36">
        <f t="shared" si="301"/>
        <v>-1</v>
      </c>
      <c r="AJ262" s="36">
        <f t="shared" si="302"/>
        <v>-1</v>
      </c>
      <c r="AK262" s="36">
        <f t="shared" si="303"/>
        <v>-1</v>
      </c>
      <c r="AL262" s="36"/>
      <c r="AM262" s="36" t="str">
        <f t="shared" si="324"/>
        <v/>
      </c>
      <c r="AN262" s="288" t="str">
        <f t="shared" si="304"/>
        <v/>
      </c>
      <c r="AO262" s="288" t="str">
        <f t="shared" si="305"/>
        <v/>
      </c>
      <c r="AP262" s="288" t="str">
        <f t="shared" si="306"/>
        <v/>
      </c>
      <c r="AQ262" s="36">
        <f t="shared" ref="AQ262:AS262" si="328">AQ261</f>
        <v>3.3793103448275866E-2</v>
      </c>
      <c r="AR262" s="36">
        <f t="shared" si="328"/>
        <v>5.9329425287356324E-2</v>
      </c>
      <c r="AS262" s="36">
        <f t="shared" si="328"/>
        <v>8.4865747126436797E-2</v>
      </c>
      <c r="AT262" s="288">
        <f t="shared" si="308"/>
        <v>0.11040206896551726</v>
      </c>
    </row>
    <row r="263" spans="2:46">
      <c r="B263" s="287"/>
      <c r="C263" s="707"/>
      <c r="D263" s="707"/>
      <c r="E263" s="707"/>
      <c r="F263" s="707"/>
      <c r="G263" s="707"/>
      <c r="H263" s="707"/>
      <c r="I263" s="707"/>
      <c r="J263" s="707"/>
      <c r="K263" s="707"/>
      <c r="L263" s="707"/>
      <c r="M263" s="707"/>
      <c r="N263" s="707"/>
      <c r="O263" s="707"/>
      <c r="P263" s="707"/>
      <c r="Q263" s="707"/>
      <c r="R263" s="707"/>
      <c r="S263" s="707"/>
      <c r="T263" s="707"/>
      <c r="U263" s="707"/>
      <c r="V263" s="707"/>
      <c r="W263" s="707"/>
      <c r="X263" s="707"/>
      <c r="Y263" s="707"/>
      <c r="Z263" s="707"/>
      <c r="AA263" s="36" t="str">
        <f t="shared" si="322"/>
        <v/>
      </c>
      <c r="AB263" s="288" t="str">
        <f t="shared" si="294"/>
        <v/>
      </c>
      <c r="AC263" s="288" t="str">
        <f t="shared" si="295"/>
        <v/>
      </c>
      <c r="AD263" s="288" t="str">
        <f t="shared" si="296"/>
        <v/>
      </c>
      <c r="AE263" s="288" t="str">
        <f t="shared" si="297"/>
        <v/>
      </c>
      <c r="AF263" s="288" t="str">
        <f t="shared" si="298"/>
        <v/>
      </c>
      <c r="AG263" s="288" t="str">
        <f t="shared" si="299"/>
        <v/>
      </c>
      <c r="AH263" s="288" t="str">
        <f t="shared" si="300"/>
        <v/>
      </c>
      <c r="AI263" s="36">
        <f t="shared" si="301"/>
        <v>-1</v>
      </c>
      <c r="AJ263" s="36">
        <f t="shared" si="302"/>
        <v>-1</v>
      </c>
      <c r="AK263" s="36">
        <f t="shared" si="303"/>
        <v>-1</v>
      </c>
      <c r="AL263" s="36"/>
      <c r="AM263" s="36" t="str">
        <f t="shared" si="324"/>
        <v/>
      </c>
      <c r="AN263" s="288" t="str">
        <f t="shared" si="304"/>
        <v/>
      </c>
      <c r="AO263" s="288" t="str">
        <f t="shared" si="305"/>
        <v/>
      </c>
      <c r="AP263" s="288" t="str">
        <f t="shared" si="306"/>
        <v/>
      </c>
      <c r="AQ263" s="36">
        <f t="shared" ref="AQ263:AS263" si="329">AQ262</f>
        <v>3.3793103448275866E-2</v>
      </c>
      <c r="AR263" s="36">
        <f t="shared" si="329"/>
        <v>5.9329425287356324E-2</v>
      </c>
      <c r="AS263" s="36">
        <f t="shared" si="329"/>
        <v>8.4865747126436797E-2</v>
      </c>
      <c r="AT263" s="288">
        <f t="shared" si="308"/>
        <v>0.11040206896551726</v>
      </c>
    </row>
    <row r="264" spans="2:46">
      <c r="B264" s="287"/>
      <c r="C264" s="707"/>
      <c r="D264" s="707"/>
      <c r="E264" s="707"/>
      <c r="F264" s="707"/>
      <c r="G264" s="707"/>
      <c r="H264" s="707"/>
      <c r="I264" s="707"/>
      <c r="J264" s="707"/>
      <c r="K264" s="707"/>
      <c r="L264" s="707"/>
      <c r="M264" s="707"/>
      <c r="N264" s="707"/>
      <c r="O264" s="707"/>
      <c r="P264" s="707"/>
      <c r="Q264" s="707"/>
      <c r="R264" s="707"/>
      <c r="S264" s="707"/>
      <c r="T264" s="707"/>
      <c r="U264" s="707"/>
      <c r="V264" s="707"/>
      <c r="W264" s="707"/>
      <c r="X264" s="707"/>
      <c r="Y264" s="707"/>
      <c r="Z264" s="707"/>
      <c r="AA264" s="36" t="str">
        <f t="shared" si="322"/>
        <v/>
      </c>
      <c r="AB264" s="288" t="str">
        <f t="shared" si="294"/>
        <v/>
      </c>
      <c r="AC264" s="288" t="str">
        <f t="shared" si="295"/>
        <v/>
      </c>
      <c r="AD264" s="288" t="str">
        <f t="shared" si="296"/>
        <v/>
      </c>
      <c r="AE264" s="288" t="str">
        <f t="shared" si="297"/>
        <v/>
      </c>
      <c r="AF264" s="288" t="str">
        <f t="shared" si="298"/>
        <v/>
      </c>
      <c r="AG264" s="288" t="str">
        <f t="shared" si="299"/>
        <v/>
      </c>
      <c r="AH264" s="288" t="str">
        <f t="shared" si="300"/>
        <v/>
      </c>
      <c r="AI264" s="36">
        <f t="shared" si="301"/>
        <v>-1</v>
      </c>
      <c r="AJ264" s="36">
        <f t="shared" si="302"/>
        <v>-1</v>
      </c>
      <c r="AK264" s="36">
        <f t="shared" si="303"/>
        <v>-1</v>
      </c>
      <c r="AL264" s="36"/>
      <c r="AM264" s="36" t="str">
        <f t="shared" si="324"/>
        <v/>
      </c>
      <c r="AN264" s="288" t="str">
        <f t="shared" si="304"/>
        <v/>
      </c>
      <c r="AO264" s="288" t="str">
        <f t="shared" si="305"/>
        <v/>
      </c>
      <c r="AP264" s="288" t="str">
        <f t="shared" si="306"/>
        <v/>
      </c>
      <c r="AQ264" s="36">
        <f t="shared" ref="AQ264:AS264" si="330">AQ263</f>
        <v>3.3793103448275866E-2</v>
      </c>
      <c r="AR264" s="36">
        <f t="shared" si="330"/>
        <v>5.9329425287356324E-2</v>
      </c>
      <c r="AS264" s="36">
        <f t="shared" si="330"/>
        <v>8.4865747126436797E-2</v>
      </c>
      <c r="AT264" s="288">
        <f t="shared" si="308"/>
        <v>0.11040206896551726</v>
      </c>
    </row>
    <row r="265" spans="2:46">
      <c r="B265" s="287"/>
      <c r="C265" s="707"/>
      <c r="D265" s="707"/>
      <c r="E265" s="707"/>
      <c r="F265" s="707"/>
      <c r="G265" s="707"/>
      <c r="H265" s="707"/>
      <c r="I265" s="707"/>
      <c r="J265" s="707"/>
      <c r="K265" s="707"/>
      <c r="L265" s="707"/>
      <c r="M265" s="707"/>
      <c r="N265" s="707"/>
      <c r="O265" s="707"/>
      <c r="P265" s="707"/>
      <c r="Q265" s="707"/>
      <c r="R265" s="707"/>
      <c r="S265" s="707"/>
      <c r="T265" s="707"/>
      <c r="U265" s="707"/>
      <c r="V265" s="707"/>
      <c r="W265" s="707"/>
      <c r="X265" s="707"/>
      <c r="Y265" s="707"/>
      <c r="Z265" s="707"/>
      <c r="AA265" s="36" t="str">
        <f t="shared" si="322"/>
        <v/>
      </c>
      <c r="AB265" s="288" t="str">
        <f t="shared" si="294"/>
        <v/>
      </c>
      <c r="AC265" s="288" t="str">
        <f t="shared" si="295"/>
        <v/>
      </c>
      <c r="AD265" s="288" t="str">
        <f t="shared" si="296"/>
        <v/>
      </c>
      <c r="AE265" s="288" t="str">
        <f t="shared" si="297"/>
        <v/>
      </c>
      <c r="AF265" s="288" t="str">
        <f t="shared" si="298"/>
        <v/>
      </c>
      <c r="AG265" s="288" t="str">
        <f t="shared" si="299"/>
        <v/>
      </c>
      <c r="AH265" s="288" t="str">
        <f t="shared" si="300"/>
        <v/>
      </c>
      <c r="AI265" s="36">
        <f t="shared" si="301"/>
        <v>-1</v>
      </c>
      <c r="AJ265" s="36">
        <f t="shared" si="302"/>
        <v>-1</v>
      </c>
      <c r="AK265" s="36">
        <f t="shared" si="303"/>
        <v>-1</v>
      </c>
      <c r="AL265" s="36"/>
      <c r="AM265" s="36" t="str">
        <f t="shared" si="324"/>
        <v/>
      </c>
      <c r="AN265" s="288" t="str">
        <f t="shared" si="304"/>
        <v/>
      </c>
      <c r="AO265" s="288" t="str">
        <f t="shared" si="305"/>
        <v/>
      </c>
      <c r="AP265" s="288" t="str">
        <f t="shared" si="306"/>
        <v/>
      </c>
      <c r="AQ265" s="36">
        <f t="shared" ref="AQ265:AS265" si="331">AQ264</f>
        <v>3.3793103448275866E-2</v>
      </c>
      <c r="AR265" s="36">
        <f t="shared" si="331"/>
        <v>5.9329425287356324E-2</v>
      </c>
      <c r="AS265" s="36">
        <f t="shared" si="331"/>
        <v>8.4865747126436797E-2</v>
      </c>
      <c r="AT265" s="288">
        <f t="shared" si="308"/>
        <v>0.11040206896551726</v>
      </c>
    </row>
    <row r="266" spans="2:46">
      <c r="B266" s="287"/>
      <c r="C266" s="707"/>
      <c r="D266" s="707"/>
      <c r="E266" s="707"/>
      <c r="F266" s="707"/>
      <c r="G266" s="707"/>
      <c r="H266" s="707"/>
      <c r="I266" s="707"/>
      <c r="J266" s="707"/>
      <c r="K266" s="707"/>
      <c r="L266" s="707"/>
      <c r="M266" s="707"/>
      <c r="N266" s="707"/>
      <c r="O266" s="707"/>
      <c r="P266" s="707"/>
      <c r="Q266" s="707"/>
      <c r="R266" s="707"/>
      <c r="S266" s="707"/>
      <c r="T266" s="707"/>
      <c r="U266" s="707"/>
      <c r="V266" s="707"/>
      <c r="W266" s="707"/>
      <c r="X266" s="707"/>
      <c r="Y266" s="707"/>
      <c r="Z266" s="707"/>
      <c r="AA266" s="36" t="str">
        <f t="shared" si="322"/>
        <v/>
      </c>
      <c r="AB266" s="288" t="str">
        <f t="shared" si="294"/>
        <v/>
      </c>
      <c r="AC266" s="288" t="str">
        <f t="shared" si="295"/>
        <v/>
      </c>
      <c r="AD266" s="288" t="str">
        <f t="shared" si="296"/>
        <v/>
      </c>
      <c r="AE266" s="288" t="str">
        <f t="shared" si="297"/>
        <v/>
      </c>
      <c r="AF266" s="288" t="str">
        <f t="shared" si="298"/>
        <v/>
      </c>
      <c r="AG266" s="288" t="str">
        <f t="shared" si="299"/>
        <v/>
      </c>
      <c r="AH266" s="288" t="str">
        <f t="shared" si="300"/>
        <v/>
      </c>
      <c r="AI266" s="36">
        <f t="shared" si="301"/>
        <v>-1</v>
      </c>
      <c r="AJ266" s="36">
        <f t="shared" si="302"/>
        <v>-1</v>
      </c>
      <c r="AK266" s="36">
        <f t="shared" si="303"/>
        <v>-1</v>
      </c>
      <c r="AL266" s="36"/>
      <c r="AM266" s="36" t="str">
        <f t="shared" si="324"/>
        <v/>
      </c>
      <c r="AN266" s="288" t="str">
        <f t="shared" si="304"/>
        <v/>
      </c>
      <c r="AO266" s="288" t="str">
        <f t="shared" si="305"/>
        <v/>
      </c>
      <c r="AP266" s="288" t="str">
        <f t="shared" si="306"/>
        <v/>
      </c>
      <c r="AQ266" s="36">
        <f t="shared" ref="AQ266:AS266" si="332">AQ265</f>
        <v>3.3793103448275866E-2</v>
      </c>
      <c r="AR266" s="36">
        <f t="shared" si="332"/>
        <v>5.9329425287356324E-2</v>
      </c>
      <c r="AS266" s="36">
        <f t="shared" si="332"/>
        <v>8.4865747126436797E-2</v>
      </c>
      <c r="AT266" s="288">
        <f t="shared" si="308"/>
        <v>0.11040206896551726</v>
      </c>
    </row>
    <row r="267" spans="2:46">
      <c r="B267" s="287"/>
      <c r="C267" s="707"/>
      <c r="D267" s="707"/>
      <c r="E267" s="707"/>
      <c r="F267" s="707"/>
      <c r="G267" s="707"/>
      <c r="H267" s="707"/>
      <c r="I267" s="707"/>
      <c r="J267" s="707"/>
      <c r="K267" s="707"/>
      <c r="L267" s="707"/>
      <c r="M267" s="707"/>
      <c r="N267" s="707"/>
      <c r="O267" s="707"/>
      <c r="P267" s="707"/>
      <c r="Q267" s="707"/>
      <c r="R267" s="707"/>
      <c r="S267" s="707"/>
      <c r="T267" s="707"/>
      <c r="U267" s="707"/>
      <c r="V267" s="707"/>
      <c r="W267" s="707"/>
      <c r="X267" s="707"/>
      <c r="Y267" s="707"/>
      <c r="Z267" s="707"/>
      <c r="AA267" s="36" t="str">
        <f t="shared" si="322"/>
        <v/>
      </c>
      <c r="AB267" s="288" t="str">
        <f t="shared" si="294"/>
        <v/>
      </c>
      <c r="AC267" s="288" t="str">
        <f t="shared" si="295"/>
        <v/>
      </c>
      <c r="AD267" s="288" t="str">
        <f t="shared" si="296"/>
        <v/>
      </c>
      <c r="AE267" s="288" t="str">
        <f t="shared" si="297"/>
        <v/>
      </c>
      <c r="AF267" s="288" t="str">
        <f t="shared" si="298"/>
        <v/>
      </c>
      <c r="AG267" s="288" t="str">
        <f t="shared" si="299"/>
        <v/>
      </c>
      <c r="AH267" s="288" t="str">
        <f t="shared" si="300"/>
        <v/>
      </c>
      <c r="AI267" s="36">
        <f t="shared" si="301"/>
        <v>-1</v>
      </c>
      <c r="AJ267" s="36">
        <f t="shared" si="302"/>
        <v>-1</v>
      </c>
      <c r="AK267" s="36">
        <f t="shared" si="303"/>
        <v>-1</v>
      </c>
      <c r="AL267" s="36"/>
      <c r="AM267" s="36" t="str">
        <f t="shared" si="324"/>
        <v/>
      </c>
      <c r="AN267" s="288" t="str">
        <f t="shared" si="304"/>
        <v/>
      </c>
      <c r="AO267" s="288" t="str">
        <f t="shared" si="305"/>
        <v/>
      </c>
      <c r="AP267" s="288" t="str">
        <f t="shared" si="306"/>
        <v/>
      </c>
      <c r="AQ267" s="36">
        <f t="shared" ref="AQ267:AS267" si="333">AQ266</f>
        <v>3.3793103448275866E-2</v>
      </c>
      <c r="AR267" s="36">
        <f t="shared" si="333"/>
        <v>5.9329425287356324E-2</v>
      </c>
      <c r="AS267" s="36">
        <f t="shared" si="333"/>
        <v>8.4865747126436797E-2</v>
      </c>
      <c r="AT267" s="288">
        <f t="shared" si="308"/>
        <v>0.11040206896551726</v>
      </c>
    </row>
    <row r="268" spans="2:46">
      <c r="B268" s="287"/>
      <c r="C268" s="707"/>
      <c r="D268" s="707"/>
      <c r="E268" s="707"/>
      <c r="F268" s="707"/>
      <c r="G268" s="707"/>
      <c r="H268" s="707"/>
      <c r="I268" s="707"/>
      <c r="J268" s="707"/>
      <c r="K268" s="707"/>
      <c r="L268" s="707"/>
      <c r="M268" s="707"/>
      <c r="N268" s="707"/>
      <c r="O268" s="707"/>
      <c r="P268" s="707"/>
      <c r="Q268" s="707"/>
      <c r="R268" s="707"/>
      <c r="S268" s="707"/>
      <c r="T268" s="707"/>
      <c r="U268" s="707"/>
      <c r="V268" s="707"/>
      <c r="W268" s="707"/>
      <c r="X268" s="707"/>
      <c r="Y268" s="707"/>
      <c r="Z268" s="707"/>
      <c r="AA268" s="36" t="str">
        <f t="shared" si="322"/>
        <v/>
      </c>
      <c r="AB268" s="288" t="str">
        <f t="shared" si="294"/>
        <v/>
      </c>
      <c r="AC268" s="288" t="str">
        <f t="shared" si="295"/>
        <v/>
      </c>
      <c r="AD268" s="288" t="str">
        <f t="shared" si="296"/>
        <v/>
      </c>
      <c r="AE268" s="288" t="str">
        <f t="shared" si="297"/>
        <v/>
      </c>
      <c r="AF268" s="288" t="str">
        <f t="shared" si="298"/>
        <v/>
      </c>
      <c r="AG268" s="288" t="str">
        <f t="shared" si="299"/>
        <v/>
      </c>
      <c r="AH268" s="288" t="str">
        <f t="shared" si="300"/>
        <v/>
      </c>
      <c r="AI268" s="36">
        <f t="shared" si="301"/>
        <v>-1</v>
      </c>
      <c r="AJ268" s="36">
        <f t="shared" si="302"/>
        <v>-1</v>
      </c>
      <c r="AK268" s="36">
        <f t="shared" si="303"/>
        <v>-1</v>
      </c>
      <c r="AL268" s="36"/>
      <c r="AM268" s="36" t="str">
        <f t="shared" si="324"/>
        <v/>
      </c>
      <c r="AN268" s="288" t="str">
        <f t="shared" si="304"/>
        <v/>
      </c>
      <c r="AO268" s="288" t="str">
        <f t="shared" si="305"/>
        <v/>
      </c>
      <c r="AP268" s="288" t="str">
        <f t="shared" si="306"/>
        <v/>
      </c>
      <c r="AQ268" s="36">
        <f t="shared" ref="AQ268:AS268" si="334">AQ267</f>
        <v>3.3793103448275866E-2</v>
      </c>
      <c r="AR268" s="36">
        <f t="shared" si="334"/>
        <v>5.9329425287356324E-2</v>
      </c>
      <c r="AS268" s="36">
        <f t="shared" si="334"/>
        <v>8.4865747126436797E-2</v>
      </c>
      <c r="AT268" s="288">
        <f t="shared" si="308"/>
        <v>0.11040206896551726</v>
      </c>
    </row>
    <row r="269" spans="2:46">
      <c r="B269" s="287"/>
      <c r="C269" s="707"/>
      <c r="D269" s="707"/>
      <c r="E269" s="707"/>
      <c r="F269" s="707"/>
      <c r="G269" s="707"/>
      <c r="H269" s="707"/>
      <c r="I269" s="707"/>
      <c r="J269" s="707"/>
      <c r="K269" s="707"/>
      <c r="L269" s="707"/>
      <c r="M269" s="707"/>
      <c r="N269" s="707"/>
      <c r="O269" s="707"/>
      <c r="P269" s="707"/>
      <c r="Q269" s="707"/>
      <c r="R269" s="707"/>
      <c r="S269" s="707"/>
      <c r="T269" s="707"/>
      <c r="U269" s="707"/>
      <c r="V269" s="707"/>
      <c r="W269" s="707"/>
      <c r="X269" s="707"/>
      <c r="Y269" s="707"/>
      <c r="Z269" s="707"/>
      <c r="AA269" s="36" t="str">
        <f t="shared" si="322"/>
        <v/>
      </c>
      <c r="AB269" s="288" t="str">
        <f t="shared" si="294"/>
        <v/>
      </c>
      <c r="AC269" s="288" t="str">
        <f t="shared" si="295"/>
        <v/>
      </c>
      <c r="AD269" s="288" t="str">
        <f t="shared" si="296"/>
        <v/>
      </c>
      <c r="AE269" s="288" t="str">
        <f t="shared" si="297"/>
        <v/>
      </c>
      <c r="AF269" s="288" t="str">
        <f t="shared" si="298"/>
        <v/>
      </c>
      <c r="AG269" s="288" t="str">
        <f t="shared" si="299"/>
        <v/>
      </c>
      <c r="AH269" s="288" t="str">
        <f t="shared" si="300"/>
        <v/>
      </c>
      <c r="AI269" s="36">
        <f t="shared" si="301"/>
        <v>-1</v>
      </c>
      <c r="AJ269" s="36">
        <f t="shared" si="302"/>
        <v>-1</v>
      </c>
      <c r="AK269" s="36">
        <f t="shared" si="303"/>
        <v>-1</v>
      </c>
      <c r="AL269" s="36"/>
      <c r="AM269" s="36" t="str">
        <f t="shared" si="324"/>
        <v/>
      </c>
      <c r="AN269" s="288" t="str">
        <f t="shared" si="304"/>
        <v/>
      </c>
      <c r="AO269" s="288" t="str">
        <f t="shared" si="305"/>
        <v/>
      </c>
      <c r="AP269" s="288" t="str">
        <f t="shared" si="306"/>
        <v/>
      </c>
      <c r="AQ269" s="36">
        <f t="shared" ref="AQ269:AS269" si="335">AQ268</f>
        <v>3.3793103448275866E-2</v>
      </c>
      <c r="AR269" s="36">
        <f t="shared" si="335"/>
        <v>5.9329425287356324E-2</v>
      </c>
      <c r="AS269" s="36">
        <f t="shared" si="335"/>
        <v>8.4865747126436797E-2</v>
      </c>
      <c r="AT269" s="288">
        <f t="shared" si="308"/>
        <v>0.11040206896551726</v>
      </c>
    </row>
    <row r="270" spans="2:46">
      <c r="B270" s="287"/>
      <c r="C270" s="707"/>
      <c r="D270" s="707"/>
      <c r="E270" s="707"/>
      <c r="F270" s="707"/>
      <c r="G270" s="707"/>
      <c r="H270" s="707"/>
      <c r="I270" s="707"/>
      <c r="J270" s="707"/>
      <c r="K270" s="707"/>
      <c r="L270" s="707"/>
      <c r="M270" s="707"/>
      <c r="N270" s="707"/>
      <c r="O270" s="707"/>
      <c r="P270" s="707"/>
      <c r="Q270" s="707"/>
      <c r="R270" s="707"/>
      <c r="S270" s="707"/>
      <c r="T270" s="707"/>
      <c r="U270" s="707"/>
      <c r="V270" s="707"/>
      <c r="W270" s="707"/>
      <c r="X270" s="707"/>
      <c r="Y270" s="707"/>
      <c r="Z270" s="707"/>
      <c r="AA270" s="36" t="str">
        <f t="shared" si="322"/>
        <v/>
      </c>
      <c r="AB270" s="288" t="str">
        <f t="shared" si="294"/>
        <v/>
      </c>
      <c r="AC270" s="288" t="str">
        <f t="shared" si="295"/>
        <v/>
      </c>
      <c r="AD270" s="288" t="str">
        <f t="shared" si="296"/>
        <v/>
      </c>
      <c r="AE270" s="288" t="str">
        <f t="shared" si="297"/>
        <v/>
      </c>
      <c r="AF270" s="288" t="str">
        <f t="shared" si="298"/>
        <v/>
      </c>
      <c r="AG270" s="288" t="str">
        <f t="shared" si="299"/>
        <v/>
      </c>
      <c r="AH270" s="288" t="str">
        <f t="shared" si="300"/>
        <v/>
      </c>
      <c r="AI270" s="36">
        <f t="shared" si="301"/>
        <v>-1</v>
      </c>
      <c r="AJ270" s="36">
        <f t="shared" si="302"/>
        <v>-1</v>
      </c>
      <c r="AK270" s="36">
        <f t="shared" si="303"/>
        <v>-1</v>
      </c>
      <c r="AL270" s="36"/>
      <c r="AM270" s="36" t="str">
        <f t="shared" si="324"/>
        <v/>
      </c>
      <c r="AN270" s="288" t="str">
        <f t="shared" si="304"/>
        <v/>
      </c>
      <c r="AO270" s="288" t="str">
        <f t="shared" si="305"/>
        <v/>
      </c>
      <c r="AP270" s="288" t="str">
        <f t="shared" si="306"/>
        <v/>
      </c>
      <c r="AQ270" s="36">
        <f t="shared" ref="AQ270:AS270" si="336">AQ269</f>
        <v>3.3793103448275866E-2</v>
      </c>
      <c r="AR270" s="36">
        <f t="shared" si="336"/>
        <v>5.9329425287356324E-2</v>
      </c>
      <c r="AS270" s="36">
        <f t="shared" si="336"/>
        <v>8.4865747126436797E-2</v>
      </c>
      <c r="AT270" s="288">
        <f t="shared" si="308"/>
        <v>0.11040206896551726</v>
      </c>
    </row>
    <row r="271" spans="2:46">
      <c r="B271" s="287"/>
      <c r="C271" s="707"/>
      <c r="D271" s="707"/>
      <c r="E271" s="707"/>
      <c r="F271" s="707"/>
      <c r="G271" s="707"/>
      <c r="H271" s="707"/>
      <c r="I271" s="707"/>
      <c r="J271" s="707"/>
      <c r="K271" s="707"/>
      <c r="L271" s="707"/>
      <c r="M271" s="707"/>
      <c r="N271" s="707"/>
      <c r="O271" s="707"/>
      <c r="P271" s="707"/>
      <c r="Q271" s="707"/>
      <c r="R271" s="707"/>
      <c r="S271" s="707"/>
      <c r="T271" s="707"/>
      <c r="U271" s="707"/>
      <c r="V271" s="707"/>
      <c r="W271" s="707"/>
      <c r="X271" s="707"/>
      <c r="Y271" s="707"/>
      <c r="Z271" s="707"/>
      <c r="AA271" s="36" t="str">
        <f t="shared" si="322"/>
        <v/>
      </c>
      <c r="AB271" s="288" t="str">
        <f t="shared" si="294"/>
        <v/>
      </c>
      <c r="AC271" s="288" t="str">
        <f t="shared" si="295"/>
        <v/>
      </c>
      <c r="AD271" s="288" t="str">
        <f t="shared" si="296"/>
        <v/>
      </c>
      <c r="AE271" s="288" t="str">
        <f t="shared" si="297"/>
        <v/>
      </c>
      <c r="AF271" s="288" t="str">
        <f t="shared" si="298"/>
        <v/>
      </c>
      <c r="AG271" s="288" t="str">
        <f t="shared" si="299"/>
        <v/>
      </c>
      <c r="AH271" s="288" t="str">
        <f t="shared" si="300"/>
        <v/>
      </c>
      <c r="AI271" s="36">
        <f t="shared" si="301"/>
        <v>-1</v>
      </c>
      <c r="AJ271" s="36">
        <f t="shared" si="302"/>
        <v>-1</v>
      </c>
      <c r="AK271" s="36">
        <f t="shared" si="303"/>
        <v>-1</v>
      </c>
      <c r="AL271" s="36"/>
      <c r="AM271" s="36" t="str">
        <f t="shared" si="324"/>
        <v/>
      </c>
      <c r="AN271" s="288" t="str">
        <f t="shared" si="304"/>
        <v/>
      </c>
      <c r="AO271" s="288" t="str">
        <f t="shared" si="305"/>
        <v/>
      </c>
      <c r="AP271" s="288" t="str">
        <f t="shared" si="306"/>
        <v/>
      </c>
      <c r="AQ271" s="36">
        <f t="shared" ref="AQ271:AS271" si="337">AQ270</f>
        <v>3.3793103448275866E-2</v>
      </c>
      <c r="AR271" s="36">
        <f t="shared" si="337"/>
        <v>5.9329425287356324E-2</v>
      </c>
      <c r="AS271" s="36">
        <f t="shared" si="337"/>
        <v>8.4865747126436797E-2</v>
      </c>
      <c r="AT271" s="288">
        <f t="shared" si="308"/>
        <v>0.11040206896551726</v>
      </c>
    </row>
    <row r="272" spans="2:46">
      <c r="B272" s="287"/>
      <c r="C272" s="707"/>
      <c r="D272" s="707"/>
      <c r="E272" s="707"/>
      <c r="F272" s="707"/>
      <c r="G272" s="707"/>
      <c r="H272" s="707"/>
      <c r="I272" s="707"/>
      <c r="J272" s="707"/>
      <c r="K272" s="707"/>
      <c r="L272" s="707"/>
      <c r="M272" s="707"/>
      <c r="N272" s="707"/>
      <c r="O272" s="707"/>
      <c r="P272" s="707"/>
      <c r="Q272" s="707"/>
      <c r="R272" s="707"/>
      <c r="S272" s="707"/>
      <c r="T272" s="707"/>
      <c r="U272" s="707"/>
      <c r="V272" s="707"/>
      <c r="W272" s="707"/>
      <c r="X272" s="707"/>
      <c r="Y272" s="707"/>
      <c r="Z272" s="707"/>
      <c r="AA272" s="36" t="str">
        <f t="shared" si="322"/>
        <v/>
      </c>
      <c r="AB272" s="288" t="str">
        <f t="shared" si="294"/>
        <v/>
      </c>
      <c r="AC272" s="288" t="str">
        <f t="shared" si="295"/>
        <v/>
      </c>
      <c r="AD272" s="288" t="str">
        <f t="shared" si="296"/>
        <v/>
      </c>
      <c r="AE272" s="288" t="str">
        <f t="shared" si="297"/>
        <v/>
      </c>
      <c r="AF272" s="288" t="str">
        <f t="shared" si="298"/>
        <v/>
      </c>
      <c r="AG272" s="288" t="str">
        <f t="shared" si="299"/>
        <v/>
      </c>
      <c r="AH272" s="288" t="str">
        <f t="shared" si="300"/>
        <v/>
      </c>
      <c r="AI272" s="36">
        <f t="shared" si="301"/>
        <v>-1</v>
      </c>
      <c r="AJ272" s="36">
        <f t="shared" si="302"/>
        <v>-1</v>
      </c>
      <c r="AK272" s="36">
        <f t="shared" si="303"/>
        <v>-1</v>
      </c>
      <c r="AL272" s="36"/>
      <c r="AM272" s="36" t="str">
        <f t="shared" si="324"/>
        <v/>
      </c>
      <c r="AN272" s="288" t="str">
        <f t="shared" si="304"/>
        <v/>
      </c>
      <c r="AO272" s="288" t="str">
        <f t="shared" si="305"/>
        <v/>
      </c>
      <c r="AP272" s="288" t="str">
        <f t="shared" si="306"/>
        <v/>
      </c>
      <c r="AQ272" s="36">
        <f t="shared" ref="AQ272:AS272" si="338">AQ271</f>
        <v>3.3793103448275866E-2</v>
      </c>
      <c r="AR272" s="36">
        <f t="shared" si="338"/>
        <v>5.9329425287356324E-2</v>
      </c>
      <c r="AS272" s="36">
        <f t="shared" si="338"/>
        <v>8.4865747126436797E-2</v>
      </c>
      <c r="AT272" s="288">
        <f t="shared" si="308"/>
        <v>0.11040206896551726</v>
      </c>
    </row>
    <row r="273" spans="2:46">
      <c r="B273" s="287"/>
      <c r="C273" s="707"/>
      <c r="D273" s="707"/>
      <c r="E273" s="707"/>
      <c r="F273" s="707"/>
      <c r="G273" s="707"/>
      <c r="H273" s="707"/>
      <c r="I273" s="707"/>
      <c r="J273" s="707"/>
      <c r="K273" s="707"/>
      <c r="L273" s="707"/>
      <c r="M273" s="707"/>
      <c r="N273" s="707"/>
      <c r="O273" s="707"/>
      <c r="P273" s="707"/>
      <c r="Q273" s="707"/>
      <c r="R273" s="707"/>
      <c r="S273" s="707"/>
      <c r="T273" s="707"/>
      <c r="U273" s="707"/>
      <c r="V273" s="707"/>
      <c r="W273" s="707"/>
      <c r="X273" s="707"/>
      <c r="Y273" s="707"/>
      <c r="Z273" s="707"/>
      <c r="AA273" s="36" t="str">
        <f t="shared" si="322"/>
        <v/>
      </c>
      <c r="AB273" s="288" t="str">
        <f t="shared" si="294"/>
        <v/>
      </c>
      <c r="AC273" s="288" t="str">
        <f t="shared" si="295"/>
        <v/>
      </c>
      <c r="AD273" s="288" t="str">
        <f t="shared" si="296"/>
        <v/>
      </c>
      <c r="AE273" s="288" t="str">
        <f t="shared" si="297"/>
        <v/>
      </c>
      <c r="AF273" s="288" t="str">
        <f t="shared" si="298"/>
        <v/>
      </c>
      <c r="AG273" s="288" t="str">
        <f t="shared" si="299"/>
        <v/>
      </c>
      <c r="AH273" s="288" t="str">
        <f t="shared" si="300"/>
        <v/>
      </c>
      <c r="AI273" s="36">
        <f t="shared" si="301"/>
        <v>-1</v>
      </c>
      <c r="AJ273" s="36">
        <f t="shared" si="302"/>
        <v>-1</v>
      </c>
      <c r="AK273" s="36">
        <f t="shared" si="303"/>
        <v>-1</v>
      </c>
      <c r="AL273" s="36"/>
      <c r="AM273" s="36" t="str">
        <f t="shared" si="324"/>
        <v/>
      </c>
      <c r="AN273" s="288" t="str">
        <f t="shared" si="304"/>
        <v/>
      </c>
      <c r="AO273" s="288" t="str">
        <f t="shared" si="305"/>
        <v/>
      </c>
      <c r="AP273" s="288" t="str">
        <f t="shared" si="306"/>
        <v/>
      </c>
      <c r="AQ273" s="36">
        <f t="shared" ref="AQ273:AS273" si="339">AQ272</f>
        <v>3.3793103448275866E-2</v>
      </c>
      <c r="AR273" s="36">
        <f t="shared" si="339"/>
        <v>5.9329425287356324E-2</v>
      </c>
      <c r="AS273" s="36">
        <f t="shared" si="339"/>
        <v>8.4865747126436797E-2</v>
      </c>
      <c r="AT273" s="288">
        <f t="shared" si="308"/>
        <v>0.11040206896551726</v>
      </c>
    </row>
    <row r="274" spans="2:46">
      <c r="B274" s="287"/>
      <c r="C274" s="707"/>
      <c r="D274" s="707"/>
      <c r="E274" s="707"/>
      <c r="F274" s="707"/>
      <c r="G274" s="707"/>
      <c r="H274" s="707"/>
      <c r="I274" s="707"/>
      <c r="J274" s="707"/>
      <c r="K274" s="707"/>
      <c r="L274" s="707"/>
      <c r="M274" s="707"/>
      <c r="N274" s="707"/>
      <c r="O274" s="707"/>
      <c r="P274" s="707"/>
      <c r="Q274" s="707"/>
      <c r="R274" s="707"/>
      <c r="S274" s="707"/>
      <c r="T274" s="707"/>
      <c r="U274" s="707"/>
      <c r="V274" s="707"/>
      <c r="W274" s="707"/>
      <c r="X274" s="707"/>
      <c r="Y274" s="707"/>
      <c r="Z274" s="707"/>
      <c r="AA274" s="36" t="str">
        <f t="shared" si="322"/>
        <v/>
      </c>
      <c r="AB274" s="288" t="str">
        <f t="shared" si="294"/>
        <v/>
      </c>
      <c r="AC274" s="288" t="str">
        <f t="shared" si="295"/>
        <v/>
      </c>
      <c r="AD274" s="288" t="str">
        <f t="shared" si="296"/>
        <v/>
      </c>
      <c r="AE274" s="288" t="str">
        <f t="shared" si="297"/>
        <v/>
      </c>
      <c r="AF274" s="288" t="str">
        <f t="shared" si="298"/>
        <v/>
      </c>
      <c r="AG274" s="288" t="str">
        <f t="shared" si="299"/>
        <v/>
      </c>
      <c r="AH274" s="288" t="str">
        <f t="shared" si="300"/>
        <v/>
      </c>
      <c r="AI274" s="36">
        <f t="shared" si="301"/>
        <v>-1</v>
      </c>
      <c r="AJ274" s="36">
        <f t="shared" si="302"/>
        <v>-1</v>
      </c>
      <c r="AK274" s="36">
        <f t="shared" si="303"/>
        <v>-1</v>
      </c>
      <c r="AL274" s="36"/>
      <c r="AM274" s="36" t="str">
        <f t="shared" si="324"/>
        <v/>
      </c>
      <c r="AN274" s="288" t="str">
        <f t="shared" si="304"/>
        <v/>
      </c>
      <c r="AO274" s="288" t="str">
        <f t="shared" si="305"/>
        <v/>
      </c>
      <c r="AP274" s="288" t="str">
        <f t="shared" si="306"/>
        <v/>
      </c>
      <c r="AQ274" s="36">
        <f t="shared" ref="AQ274:AS274" si="340">AQ273</f>
        <v>3.3793103448275866E-2</v>
      </c>
      <c r="AR274" s="36">
        <f t="shared" si="340"/>
        <v>5.9329425287356324E-2</v>
      </c>
      <c r="AS274" s="36">
        <f t="shared" si="340"/>
        <v>8.4865747126436797E-2</v>
      </c>
      <c r="AT274" s="288">
        <f t="shared" si="308"/>
        <v>0.11040206896551726</v>
      </c>
    </row>
    <row r="275" spans="2:46">
      <c r="B275" s="287"/>
      <c r="C275" s="707"/>
      <c r="D275" s="707"/>
      <c r="E275" s="707"/>
      <c r="F275" s="707"/>
      <c r="G275" s="707"/>
      <c r="H275" s="707"/>
      <c r="I275" s="707"/>
      <c r="J275" s="707"/>
      <c r="K275" s="707"/>
      <c r="L275" s="707"/>
      <c r="M275" s="707"/>
      <c r="N275" s="707"/>
      <c r="O275" s="707"/>
      <c r="P275" s="707"/>
      <c r="Q275" s="707"/>
      <c r="R275" s="707"/>
      <c r="S275" s="707"/>
      <c r="T275" s="707"/>
      <c r="U275" s="707"/>
      <c r="V275" s="707"/>
      <c r="W275" s="707"/>
      <c r="X275" s="707"/>
      <c r="Y275" s="707"/>
      <c r="Z275" s="707"/>
      <c r="AA275" s="36" t="str">
        <f t="shared" si="322"/>
        <v/>
      </c>
      <c r="AB275" s="288" t="str">
        <f t="shared" si="294"/>
        <v/>
      </c>
      <c r="AC275" s="288" t="str">
        <f t="shared" si="295"/>
        <v/>
      </c>
      <c r="AD275" s="288" t="str">
        <f t="shared" si="296"/>
        <v/>
      </c>
      <c r="AE275" s="288" t="str">
        <f t="shared" si="297"/>
        <v/>
      </c>
      <c r="AF275" s="288" t="str">
        <f t="shared" si="298"/>
        <v/>
      </c>
      <c r="AG275" s="288" t="str">
        <f t="shared" si="299"/>
        <v/>
      </c>
      <c r="AH275" s="288" t="str">
        <f t="shared" si="300"/>
        <v/>
      </c>
      <c r="AI275" s="36">
        <f t="shared" si="301"/>
        <v>-1</v>
      </c>
      <c r="AJ275" s="36">
        <f t="shared" si="302"/>
        <v>-1</v>
      </c>
      <c r="AK275" s="36">
        <f t="shared" si="303"/>
        <v>-1</v>
      </c>
      <c r="AL275" s="36"/>
      <c r="AM275" s="36" t="str">
        <f t="shared" si="324"/>
        <v/>
      </c>
      <c r="AN275" s="288" t="str">
        <f t="shared" si="304"/>
        <v/>
      </c>
      <c r="AO275" s="288" t="str">
        <f t="shared" si="305"/>
        <v/>
      </c>
      <c r="AP275" s="288" t="str">
        <f t="shared" si="306"/>
        <v/>
      </c>
      <c r="AQ275" s="36">
        <f t="shared" ref="AQ275:AS275" si="341">AQ274</f>
        <v>3.3793103448275866E-2</v>
      </c>
      <c r="AR275" s="36">
        <f t="shared" si="341"/>
        <v>5.9329425287356324E-2</v>
      </c>
      <c r="AS275" s="36">
        <f t="shared" si="341"/>
        <v>8.4865747126436797E-2</v>
      </c>
      <c r="AT275" s="288">
        <f t="shared" si="308"/>
        <v>0.11040206896551726</v>
      </c>
    </row>
    <row r="276" spans="2:46">
      <c r="B276" s="287"/>
      <c r="C276" s="707"/>
      <c r="D276" s="707"/>
      <c r="E276" s="707"/>
      <c r="F276" s="707"/>
      <c r="G276" s="707"/>
      <c r="H276" s="707"/>
      <c r="I276" s="707"/>
      <c r="J276" s="707"/>
      <c r="K276" s="707"/>
      <c r="L276" s="707"/>
      <c r="M276" s="707"/>
      <c r="N276" s="707"/>
      <c r="O276" s="707"/>
      <c r="P276" s="707"/>
      <c r="Q276" s="707"/>
      <c r="R276" s="707"/>
      <c r="S276" s="707"/>
      <c r="T276" s="707"/>
      <c r="U276" s="707"/>
      <c r="V276" s="707"/>
      <c r="W276" s="707"/>
      <c r="X276" s="707"/>
      <c r="Y276" s="707"/>
      <c r="Z276" s="707"/>
      <c r="AA276" s="36" t="str">
        <f t="shared" si="322"/>
        <v/>
      </c>
      <c r="AB276" s="288" t="str">
        <f t="shared" si="294"/>
        <v/>
      </c>
      <c r="AC276" s="288" t="str">
        <f t="shared" si="295"/>
        <v/>
      </c>
      <c r="AD276" s="288" t="str">
        <f t="shared" si="296"/>
        <v/>
      </c>
      <c r="AE276" s="288" t="str">
        <f t="shared" si="297"/>
        <v/>
      </c>
      <c r="AF276" s="288" t="str">
        <f t="shared" si="298"/>
        <v/>
      </c>
      <c r="AG276" s="288" t="str">
        <f t="shared" si="299"/>
        <v/>
      </c>
      <c r="AH276" s="288" t="str">
        <f t="shared" si="300"/>
        <v/>
      </c>
      <c r="AI276" s="36">
        <f t="shared" si="301"/>
        <v>-1</v>
      </c>
      <c r="AJ276" s="36">
        <f t="shared" si="302"/>
        <v>-1</v>
      </c>
      <c r="AK276" s="36">
        <f t="shared" si="303"/>
        <v>-1</v>
      </c>
      <c r="AL276" s="36"/>
      <c r="AM276" s="36" t="str">
        <f t="shared" si="324"/>
        <v/>
      </c>
      <c r="AN276" s="288" t="str">
        <f t="shared" si="304"/>
        <v/>
      </c>
      <c r="AO276" s="288" t="str">
        <f t="shared" si="305"/>
        <v/>
      </c>
      <c r="AP276" s="288" t="str">
        <f t="shared" si="306"/>
        <v/>
      </c>
      <c r="AQ276" s="36">
        <f t="shared" ref="AQ276:AS276" si="342">AQ275</f>
        <v>3.3793103448275866E-2</v>
      </c>
      <c r="AR276" s="36">
        <f t="shared" si="342"/>
        <v>5.9329425287356324E-2</v>
      </c>
      <c r="AS276" s="36">
        <f t="shared" si="342"/>
        <v>8.4865747126436797E-2</v>
      </c>
      <c r="AT276" s="288">
        <f t="shared" si="308"/>
        <v>0.11040206896551726</v>
      </c>
    </row>
    <row r="277" spans="2:46">
      <c r="B277" s="287"/>
      <c r="C277" s="707"/>
      <c r="D277" s="707"/>
      <c r="E277" s="707"/>
      <c r="F277" s="707"/>
      <c r="G277" s="707"/>
      <c r="H277" s="707"/>
      <c r="I277" s="707"/>
      <c r="J277" s="707"/>
      <c r="K277" s="707"/>
      <c r="L277" s="707"/>
      <c r="M277" s="707"/>
      <c r="N277" s="707"/>
      <c r="O277" s="707"/>
      <c r="P277" s="707"/>
      <c r="Q277" s="707"/>
      <c r="R277" s="707"/>
      <c r="S277" s="707"/>
      <c r="T277" s="707"/>
      <c r="U277" s="707"/>
      <c r="V277" s="707"/>
      <c r="W277" s="707"/>
      <c r="X277" s="707"/>
      <c r="Y277" s="707"/>
      <c r="Z277" s="707"/>
      <c r="AA277" s="36" t="str">
        <f t="shared" si="322"/>
        <v/>
      </c>
      <c r="AB277" s="288" t="str">
        <f t="shared" si="294"/>
        <v/>
      </c>
      <c r="AC277" s="288" t="str">
        <f t="shared" si="295"/>
        <v/>
      </c>
      <c r="AD277" s="288" t="str">
        <f t="shared" si="296"/>
        <v/>
      </c>
      <c r="AE277" s="288" t="str">
        <f t="shared" si="297"/>
        <v/>
      </c>
      <c r="AF277" s="288" t="str">
        <f t="shared" si="298"/>
        <v/>
      </c>
      <c r="AG277" s="288" t="str">
        <f t="shared" si="299"/>
        <v/>
      </c>
      <c r="AH277" s="288" t="str">
        <f t="shared" si="300"/>
        <v/>
      </c>
      <c r="AI277" s="36">
        <f t="shared" si="301"/>
        <v>-1</v>
      </c>
      <c r="AJ277" s="36">
        <f t="shared" si="302"/>
        <v>-1</v>
      </c>
      <c r="AK277" s="36">
        <f t="shared" si="303"/>
        <v>-1</v>
      </c>
      <c r="AL277" s="36"/>
      <c r="AM277" s="36" t="str">
        <f t="shared" si="324"/>
        <v/>
      </c>
      <c r="AN277" s="288" t="str">
        <f t="shared" si="304"/>
        <v/>
      </c>
      <c r="AO277" s="288" t="str">
        <f t="shared" si="305"/>
        <v/>
      </c>
      <c r="AP277" s="288" t="str">
        <f t="shared" si="306"/>
        <v/>
      </c>
      <c r="AQ277" s="36">
        <f t="shared" ref="AQ277:AS277" si="343">AQ276</f>
        <v>3.3793103448275866E-2</v>
      </c>
      <c r="AR277" s="36">
        <f t="shared" si="343"/>
        <v>5.9329425287356324E-2</v>
      </c>
      <c r="AS277" s="36">
        <f t="shared" si="343"/>
        <v>8.4865747126436797E-2</v>
      </c>
      <c r="AT277" s="288">
        <f t="shared" si="308"/>
        <v>0.11040206896551726</v>
      </c>
    </row>
    <row r="278" spans="2:46">
      <c r="B278" s="287"/>
      <c r="C278" s="707"/>
      <c r="D278" s="707"/>
      <c r="E278" s="707"/>
      <c r="F278" s="707"/>
      <c r="G278" s="707"/>
      <c r="H278" s="707"/>
      <c r="I278" s="707"/>
      <c r="J278" s="707"/>
      <c r="K278" s="707"/>
      <c r="L278" s="707"/>
      <c r="M278" s="707"/>
      <c r="N278" s="707"/>
      <c r="O278" s="707"/>
      <c r="P278" s="707"/>
      <c r="Q278" s="707"/>
      <c r="R278" s="707"/>
      <c r="S278" s="707"/>
      <c r="T278" s="707"/>
      <c r="U278" s="707"/>
      <c r="V278" s="707"/>
      <c r="W278" s="707"/>
      <c r="X278" s="707"/>
      <c r="Y278" s="707"/>
      <c r="Z278" s="707"/>
      <c r="AA278" s="36" t="str">
        <f t="shared" si="322"/>
        <v/>
      </c>
      <c r="AB278" s="288" t="str">
        <f t="shared" si="294"/>
        <v/>
      </c>
      <c r="AC278" s="288" t="str">
        <f t="shared" si="295"/>
        <v/>
      </c>
      <c r="AD278" s="288" t="str">
        <f t="shared" si="296"/>
        <v/>
      </c>
      <c r="AE278" s="288" t="str">
        <f t="shared" si="297"/>
        <v/>
      </c>
      <c r="AF278" s="288" t="str">
        <f t="shared" si="298"/>
        <v/>
      </c>
      <c r="AG278" s="288" t="str">
        <f t="shared" si="299"/>
        <v/>
      </c>
      <c r="AH278" s="288" t="str">
        <f t="shared" si="300"/>
        <v/>
      </c>
      <c r="AI278" s="36">
        <f t="shared" si="301"/>
        <v>-1</v>
      </c>
      <c r="AJ278" s="36">
        <f t="shared" si="302"/>
        <v>-1</v>
      </c>
      <c r="AK278" s="36">
        <f t="shared" si="303"/>
        <v>-1</v>
      </c>
      <c r="AL278" s="36"/>
      <c r="AM278" s="36" t="str">
        <f t="shared" si="324"/>
        <v/>
      </c>
      <c r="AN278" s="288" t="str">
        <f t="shared" si="304"/>
        <v/>
      </c>
      <c r="AO278" s="288" t="str">
        <f t="shared" si="305"/>
        <v/>
      </c>
      <c r="AP278" s="288" t="str">
        <f t="shared" si="306"/>
        <v/>
      </c>
      <c r="AQ278" s="36">
        <f t="shared" ref="AQ278:AS278" si="344">AQ277</f>
        <v>3.3793103448275866E-2</v>
      </c>
      <c r="AR278" s="36">
        <f t="shared" si="344"/>
        <v>5.9329425287356324E-2</v>
      </c>
      <c r="AS278" s="36">
        <f t="shared" si="344"/>
        <v>8.4865747126436797E-2</v>
      </c>
      <c r="AT278" s="288">
        <f t="shared" si="308"/>
        <v>0.11040206896551726</v>
      </c>
    </row>
    <row r="279" spans="2:46">
      <c r="B279" s="287"/>
      <c r="C279" s="707"/>
      <c r="D279" s="707"/>
      <c r="E279" s="707"/>
      <c r="F279" s="707"/>
      <c r="G279" s="707"/>
      <c r="H279" s="707"/>
      <c r="I279" s="707"/>
      <c r="J279" s="707"/>
      <c r="K279" s="707"/>
      <c r="L279" s="707"/>
      <c r="M279" s="707"/>
      <c r="N279" s="707"/>
      <c r="O279" s="707"/>
      <c r="P279" s="707"/>
      <c r="Q279" s="707"/>
      <c r="R279" s="707"/>
      <c r="S279" s="707"/>
      <c r="T279" s="707"/>
      <c r="U279" s="707"/>
      <c r="V279" s="707"/>
      <c r="W279" s="707"/>
      <c r="X279" s="707"/>
      <c r="Y279" s="707"/>
      <c r="Z279" s="707"/>
      <c r="AA279" s="36" t="str">
        <f t="shared" si="322"/>
        <v/>
      </c>
      <c r="AB279" s="288" t="str">
        <f t="shared" si="294"/>
        <v/>
      </c>
      <c r="AC279" s="288" t="str">
        <f t="shared" si="295"/>
        <v/>
      </c>
      <c r="AD279" s="288" t="str">
        <f t="shared" si="296"/>
        <v/>
      </c>
      <c r="AE279" s="288" t="str">
        <f t="shared" si="297"/>
        <v/>
      </c>
      <c r="AF279" s="288" t="str">
        <f t="shared" si="298"/>
        <v/>
      </c>
      <c r="AG279" s="288" t="str">
        <f t="shared" si="299"/>
        <v/>
      </c>
      <c r="AH279" s="288" t="str">
        <f t="shared" si="300"/>
        <v/>
      </c>
      <c r="AI279" s="36">
        <f t="shared" si="301"/>
        <v>-1</v>
      </c>
      <c r="AJ279" s="36">
        <f t="shared" si="302"/>
        <v>-1</v>
      </c>
      <c r="AK279" s="36">
        <f t="shared" si="303"/>
        <v>-1</v>
      </c>
      <c r="AL279" s="36"/>
      <c r="AM279" s="36" t="str">
        <f t="shared" si="324"/>
        <v/>
      </c>
      <c r="AN279" s="288" t="str">
        <f t="shared" si="304"/>
        <v/>
      </c>
      <c r="AO279" s="288" t="str">
        <f t="shared" si="305"/>
        <v/>
      </c>
      <c r="AP279" s="288" t="str">
        <f t="shared" si="306"/>
        <v/>
      </c>
      <c r="AQ279" s="36">
        <f t="shared" ref="AQ279:AS279" si="345">AQ278</f>
        <v>3.3793103448275866E-2</v>
      </c>
      <c r="AR279" s="36">
        <f t="shared" si="345"/>
        <v>5.9329425287356324E-2</v>
      </c>
      <c r="AS279" s="36">
        <f t="shared" si="345"/>
        <v>8.4865747126436797E-2</v>
      </c>
      <c r="AT279" s="288">
        <f t="shared" si="308"/>
        <v>0.11040206896551726</v>
      </c>
    </row>
    <row r="280" spans="2:46">
      <c r="B280" s="287"/>
      <c r="C280" s="707"/>
      <c r="D280" s="707"/>
      <c r="E280" s="707"/>
      <c r="F280" s="707"/>
      <c r="G280" s="707"/>
      <c r="H280" s="707"/>
      <c r="I280" s="707"/>
      <c r="J280" s="707"/>
      <c r="K280" s="707"/>
      <c r="L280" s="707"/>
      <c r="M280" s="707"/>
      <c r="N280" s="707"/>
      <c r="O280" s="707"/>
      <c r="P280" s="707"/>
      <c r="Q280" s="707"/>
      <c r="R280" s="707"/>
      <c r="S280" s="707"/>
      <c r="T280" s="707"/>
      <c r="U280" s="707"/>
      <c r="V280" s="707"/>
      <c r="W280" s="707"/>
      <c r="X280" s="707"/>
      <c r="Y280" s="707"/>
      <c r="Z280" s="707"/>
      <c r="AA280" s="36" t="str">
        <f t="shared" si="322"/>
        <v/>
      </c>
      <c r="AB280" s="288" t="str">
        <f t="shared" si="294"/>
        <v/>
      </c>
      <c r="AC280" s="288" t="str">
        <f t="shared" si="295"/>
        <v/>
      </c>
      <c r="AD280" s="288" t="str">
        <f t="shared" si="296"/>
        <v/>
      </c>
      <c r="AE280" s="288" t="str">
        <f t="shared" si="297"/>
        <v/>
      </c>
      <c r="AF280" s="288" t="str">
        <f t="shared" si="298"/>
        <v/>
      </c>
      <c r="AG280" s="288" t="str">
        <f t="shared" si="299"/>
        <v/>
      </c>
      <c r="AH280" s="288" t="str">
        <f t="shared" si="300"/>
        <v/>
      </c>
      <c r="AI280" s="36">
        <f t="shared" si="301"/>
        <v>-1</v>
      </c>
      <c r="AJ280" s="36">
        <f t="shared" si="302"/>
        <v>-1</v>
      </c>
      <c r="AK280" s="36">
        <f t="shared" si="303"/>
        <v>-1</v>
      </c>
      <c r="AL280" s="36"/>
      <c r="AM280" s="36" t="str">
        <f t="shared" si="324"/>
        <v/>
      </c>
      <c r="AN280" s="288" t="str">
        <f t="shared" si="304"/>
        <v/>
      </c>
      <c r="AO280" s="288" t="str">
        <f t="shared" si="305"/>
        <v/>
      </c>
      <c r="AP280" s="288" t="str">
        <f t="shared" si="306"/>
        <v/>
      </c>
      <c r="AQ280" s="36">
        <f t="shared" ref="AQ280:AS280" si="346">AQ279</f>
        <v>3.3793103448275866E-2</v>
      </c>
      <c r="AR280" s="36">
        <f t="shared" si="346"/>
        <v>5.9329425287356324E-2</v>
      </c>
      <c r="AS280" s="36">
        <f t="shared" si="346"/>
        <v>8.4865747126436797E-2</v>
      </c>
      <c r="AT280" s="288">
        <f t="shared" si="308"/>
        <v>0.11040206896551726</v>
      </c>
    </row>
    <row r="281" spans="2:46">
      <c r="B281" s="287"/>
      <c r="C281" s="707"/>
      <c r="D281" s="707"/>
      <c r="E281" s="707"/>
      <c r="F281" s="707"/>
      <c r="G281" s="707"/>
      <c r="H281" s="707"/>
      <c r="I281" s="707"/>
      <c r="J281" s="707"/>
      <c r="K281" s="707"/>
      <c r="L281" s="707"/>
      <c r="M281" s="707"/>
      <c r="N281" s="707"/>
      <c r="O281" s="707"/>
      <c r="P281" s="707"/>
      <c r="Q281" s="707"/>
      <c r="R281" s="707"/>
      <c r="S281" s="707"/>
      <c r="T281" s="707"/>
      <c r="U281" s="707"/>
      <c r="V281" s="707"/>
      <c r="W281" s="707"/>
      <c r="X281" s="707"/>
      <c r="Y281" s="707"/>
      <c r="Z281" s="707"/>
      <c r="AA281" s="36" t="str">
        <f t="shared" si="322"/>
        <v/>
      </c>
      <c r="AB281" s="288" t="str">
        <f t="shared" si="294"/>
        <v/>
      </c>
      <c r="AC281" s="288" t="str">
        <f t="shared" si="295"/>
        <v/>
      </c>
      <c r="AD281" s="288" t="str">
        <f t="shared" si="296"/>
        <v/>
      </c>
      <c r="AE281" s="288" t="str">
        <f t="shared" si="297"/>
        <v/>
      </c>
      <c r="AF281" s="288" t="str">
        <f t="shared" si="298"/>
        <v/>
      </c>
      <c r="AG281" s="288" t="str">
        <f t="shared" si="299"/>
        <v/>
      </c>
      <c r="AH281" s="288" t="str">
        <f t="shared" si="300"/>
        <v/>
      </c>
      <c r="AI281" s="36">
        <f t="shared" si="301"/>
        <v>-1</v>
      </c>
      <c r="AJ281" s="36">
        <f t="shared" si="302"/>
        <v>-1</v>
      </c>
      <c r="AK281" s="36">
        <f t="shared" si="303"/>
        <v>-1</v>
      </c>
      <c r="AL281" s="36"/>
      <c r="AM281" s="36" t="str">
        <f t="shared" si="324"/>
        <v/>
      </c>
      <c r="AN281" s="288" t="str">
        <f t="shared" si="304"/>
        <v/>
      </c>
      <c r="AO281" s="288" t="str">
        <f t="shared" si="305"/>
        <v/>
      </c>
      <c r="AP281" s="288" t="str">
        <f t="shared" si="306"/>
        <v/>
      </c>
      <c r="AQ281" s="36">
        <f t="shared" ref="AQ281:AS281" si="347">AQ280</f>
        <v>3.3793103448275866E-2</v>
      </c>
      <c r="AR281" s="36">
        <f t="shared" si="347"/>
        <v>5.9329425287356324E-2</v>
      </c>
      <c r="AS281" s="36">
        <f t="shared" si="347"/>
        <v>8.4865747126436797E-2</v>
      </c>
      <c r="AT281" s="288">
        <f t="shared" si="308"/>
        <v>0.11040206896551726</v>
      </c>
    </row>
    <row r="282" spans="2:46">
      <c r="B282" s="287"/>
      <c r="C282" s="707"/>
      <c r="D282" s="707"/>
      <c r="E282" s="707"/>
      <c r="F282" s="707"/>
      <c r="G282" s="707"/>
      <c r="H282" s="707"/>
      <c r="I282" s="707"/>
      <c r="J282" s="707"/>
      <c r="K282" s="707"/>
      <c r="L282" s="707"/>
      <c r="M282" s="707"/>
      <c r="N282" s="707"/>
      <c r="O282" s="707"/>
      <c r="P282" s="707"/>
      <c r="Q282" s="707"/>
      <c r="R282" s="707"/>
      <c r="S282" s="707"/>
      <c r="T282" s="707"/>
      <c r="U282" s="707"/>
      <c r="V282" s="707"/>
      <c r="W282" s="707"/>
      <c r="X282" s="707"/>
      <c r="Y282" s="707"/>
      <c r="Z282" s="707"/>
      <c r="AA282" s="36" t="str">
        <f t="shared" si="322"/>
        <v/>
      </c>
      <c r="AB282" s="288" t="str">
        <f t="shared" si="294"/>
        <v/>
      </c>
      <c r="AC282" s="288" t="str">
        <f t="shared" si="295"/>
        <v/>
      </c>
      <c r="AD282" s="288" t="str">
        <f t="shared" si="296"/>
        <v/>
      </c>
      <c r="AE282" s="288" t="str">
        <f t="shared" si="297"/>
        <v/>
      </c>
      <c r="AF282" s="288" t="str">
        <f t="shared" si="298"/>
        <v/>
      </c>
      <c r="AG282" s="288" t="str">
        <f t="shared" si="299"/>
        <v/>
      </c>
      <c r="AH282" s="288" t="str">
        <f t="shared" si="300"/>
        <v/>
      </c>
      <c r="AI282" s="36">
        <f t="shared" si="301"/>
        <v>-1</v>
      </c>
      <c r="AJ282" s="36">
        <f t="shared" si="302"/>
        <v>-1</v>
      </c>
      <c r="AK282" s="36">
        <f t="shared" si="303"/>
        <v>-1</v>
      </c>
      <c r="AL282" s="36"/>
      <c r="AM282" s="36" t="str">
        <f t="shared" si="324"/>
        <v/>
      </c>
      <c r="AN282" s="288" t="str">
        <f t="shared" si="304"/>
        <v/>
      </c>
      <c r="AO282" s="288" t="str">
        <f t="shared" si="305"/>
        <v/>
      </c>
      <c r="AP282" s="288" t="str">
        <f t="shared" si="306"/>
        <v/>
      </c>
      <c r="AQ282" s="36">
        <f t="shared" ref="AQ282:AS282" si="348">AQ281</f>
        <v>3.3793103448275866E-2</v>
      </c>
      <c r="AR282" s="36">
        <f t="shared" si="348"/>
        <v>5.9329425287356324E-2</v>
      </c>
      <c r="AS282" s="36">
        <f t="shared" si="348"/>
        <v>8.4865747126436797E-2</v>
      </c>
      <c r="AT282" s="288">
        <f t="shared" si="308"/>
        <v>0.11040206896551726</v>
      </c>
    </row>
    <row r="283" spans="2:46">
      <c r="B283" s="287"/>
      <c r="C283" s="707"/>
      <c r="D283" s="707"/>
      <c r="E283" s="707"/>
      <c r="F283" s="707"/>
      <c r="G283" s="707"/>
      <c r="H283" s="707"/>
      <c r="I283" s="707"/>
      <c r="J283" s="707"/>
      <c r="K283" s="707"/>
      <c r="L283" s="707"/>
      <c r="M283" s="707"/>
      <c r="N283" s="707"/>
      <c r="O283" s="707"/>
      <c r="P283" s="707"/>
      <c r="Q283" s="707"/>
      <c r="R283" s="707"/>
      <c r="S283" s="707"/>
      <c r="T283" s="707"/>
      <c r="U283" s="707"/>
      <c r="V283" s="707"/>
      <c r="W283" s="707"/>
      <c r="X283" s="707"/>
      <c r="Y283" s="707"/>
      <c r="Z283" s="707"/>
      <c r="AA283" s="36" t="str">
        <f t="shared" si="322"/>
        <v/>
      </c>
      <c r="AB283" s="288" t="str">
        <f t="shared" si="294"/>
        <v/>
      </c>
      <c r="AC283" s="288" t="str">
        <f t="shared" si="295"/>
        <v/>
      </c>
      <c r="AD283" s="288" t="str">
        <f t="shared" si="296"/>
        <v/>
      </c>
      <c r="AE283" s="288" t="str">
        <f t="shared" si="297"/>
        <v/>
      </c>
      <c r="AF283" s="288" t="str">
        <f t="shared" si="298"/>
        <v/>
      </c>
      <c r="AG283" s="288" t="str">
        <f t="shared" si="299"/>
        <v/>
      </c>
      <c r="AH283" s="288" t="str">
        <f t="shared" si="300"/>
        <v/>
      </c>
      <c r="AI283" s="36">
        <f t="shared" si="301"/>
        <v>-1</v>
      </c>
      <c r="AJ283" s="36">
        <f t="shared" si="302"/>
        <v>-1</v>
      </c>
      <c r="AK283" s="36">
        <f t="shared" si="303"/>
        <v>-1</v>
      </c>
      <c r="AL283" s="36"/>
      <c r="AM283" s="36" t="str">
        <f t="shared" si="324"/>
        <v/>
      </c>
      <c r="AN283" s="288" t="str">
        <f t="shared" si="304"/>
        <v/>
      </c>
      <c r="AO283" s="288" t="str">
        <f t="shared" si="305"/>
        <v/>
      </c>
      <c r="AP283" s="288" t="str">
        <f t="shared" si="306"/>
        <v/>
      </c>
      <c r="AQ283" s="36">
        <f t="shared" ref="AQ283:AS283" si="349">AQ282</f>
        <v>3.3793103448275866E-2</v>
      </c>
      <c r="AR283" s="36">
        <f t="shared" si="349"/>
        <v>5.9329425287356324E-2</v>
      </c>
      <c r="AS283" s="36">
        <f t="shared" si="349"/>
        <v>8.4865747126436797E-2</v>
      </c>
      <c r="AT283" s="288">
        <f t="shared" si="308"/>
        <v>0.11040206896551726</v>
      </c>
    </row>
    <row r="284" spans="2:46">
      <c r="B284" s="287"/>
      <c r="C284" s="707"/>
      <c r="D284" s="707"/>
      <c r="E284" s="707"/>
      <c r="F284" s="707"/>
      <c r="G284" s="707"/>
      <c r="H284" s="707"/>
      <c r="I284" s="707"/>
      <c r="J284" s="707"/>
      <c r="K284" s="707"/>
      <c r="L284" s="707"/>
      <c r="M284" s="707"/>
      <c r="N284" s="707"/>
      <c r="O284" s="707"/>
      <c r="P284" s="707"/>
      <c r="Q284" s="707"/>
      <c r="R284" s="707"/>
      <c r="S284" s="707"/>
      <c r="T284" s="707"/>
      <c r="U284" s="707"/>
      <c r="V284" s="707"/>
      <c r="W284" s="707"/>
      <c r="X284" s="707"/>
      <c r="Y284" s="707"/>
      <c r="Z284" s="707"/>
      <c r="AA284" s="36" t="str">
        <f t="shared" si="322"/>
        <v/>
      </c>
      <c r="AB284" s="288" t="str">
        <f t="shared" si="294"/>
        <v/>
      </c>
      <c r="AC284" s="288" t="str">
        <f t="shared" si="295"/>
        <v/>
      </c>
      <c r="AD284" s="288" t="str">
        <f t="shared" si="296"/>
        <v/>
      </c>
      <c r="AE284" s="288" t="str">
        <f t="shared" si="297"/>
        <v/>
      </c>
      <c r="AF284" s="288" t="str">
        <f t="shared" si="298"/>
        <v/>
      </c>
      <c r="AG284" s="288" t="str">
        <f t="shared" si="299"/>
        <v/>
      </c>
      <c r="AH284" s="288" t="str">
        <f t="shared" si="300"/>
        <v/>
      </c>
      <c r="AI284" s="36">
        <f t="shared" si="301"/>
        <v>-1</v>
      </c>
      <c r="AJ284" s="36">
        <f t="shared" si="302"/>
        <v>-1</v>
      </c>
      <c r="AK284" s="36">
        <f t="shared" si="303"/>
        <v>-1</v>
      </c>
      <c r="AL284" s="36"/>
      <c r="AM284" s="36" t="str">
        <f t="shared" si="324"/>
        <v/>
      </c>
      <c r="AN284" s="288" t="str">
        <f t="shared" si="304"/>
        <v/>
      </c>
      <c r="AO284" s="288" t="str">
        <f t="shared" si="305"/>
        <v/>
      </c>
      <c r="AP284" s="288" t="str">
        <f t="shared" si="306"/>
        <v/>
      </c>
      <c r="AQ284" s="36">
        <f t="shared" ref="AQ284:AS284" si="350">AQ283</f>
        <v>3.3793103448275866E-2</v>
      </c>
      <c r="AR284" s="36">
        <f t="shared" si="350"/>
        <v>5.9329425287356324E-2</v>
      </c>
      <c r="AS284" s="36">
        <f t="shared" si="350"/>
        <v>8.4865747126436797E-2</v>
      </c>
      <c r="AT284" s="288">
        <f t="shared" si="308"/>
        <v>0.11040206896551726</v>
      </c>
    </row>
    <row r="285" spans="2:46">
      <c r="B285" s="287"/>
      <c r="C285" s="707"/>
      <c r="D285" s="707"/>
      <c r="E285" s="707"/>
      <c r="F285" s="707"/>
      <c r="G285" s="707"/>
      <c r="H285" s="707"/>
      <c r="I285" s="707"/>
      <c r="J285" s="707"/>
      <c r="K285" s="707"/>
      <c r="L285" s="707"/>
      <c r="M285" s="707"/>
      <c r="N285" s="707"/>
      <c r="O285" s="707"/>
      <c r="P285" s="707"/>
      <c r="Q285" s="707"/>
      <c r="R285" s="707"/>
      <c r="S285" s="707"/>
      <c r="T285" s="707"/>
      <c r="U285" s="707"/>
      <c r="V285" s="707"/>
      <c r="W285" s="707"/>
      <c r="X285" s="707"/>
      <c r="Y285" s="707"/>
      <c r="Z285" s="707"/>
      <c r="AA285" s="36" t="str">
        <f t="shared" si="322"/>
        <v/>
      </c>
      <c r="AB285" s="288" t="str">
        <f t="shared" si="294"/>
        <v/>
      </c>
      <c r="AC285" s="288" t="str">
        <f t="shared" si="295"/>
        <v/>
      </c>
      <c r="AD285" s="288" t="str">
        <f t="shared" si="296"/>
        <v/>
      </c>
      <c r="AE285" s="288" t="str">
        <f t="shared" si="297"/>
        <v/>
      </c>
      <c r="AF285" s="288" t="str">
        <f t="shared" si="298"/>
        <v/>
      </c>
      <c r="AG285" s="288" t="str">
        <f t="shared" si="299"/>
        <v/>
      </c>
      <c r="AH285" s="288" t="str">
        <f t="shared" si="300"/>
        <v/>
      </c>
      <c r="AI285" s="36">
        <f t="shared" si="301"/>
        <v>-1</v>
      </c>
      <c r="AJ285" s="36">
        <f t="shared" si="302"/>
        <v>-1</v>
      </c>
      <c r="AK285" s="36">
        <f t="shared" si="303"/>
        <v>-1</v>
      </c>
      <c r="AL285" s="36"/>
      <c r="AM285" s="36" t="str">
        <f t="shared" si="324"/>
        <v/>
      </c>
      <c r="AN285" s="288" t="str">
        <f t="shared" si="304"/>
        <v/>
      </c>
      <c r="AO285" s="288" t="str">
        <f t="shared" si="305"/>
        <v/>
      </c>
      <c r="AP285" s="288" t="str">
        <f t="shared" si="306"/>
        <v/>
      </c>
      <c r="AQ285" s="36">
        <f t="shared" ref="AQ285:AS285" si="351">AQ284</f>
        <v>3.3793103448275866E-2</v>
      </c>
      <c r="AR285" s="36">
        <f t="shared" si="351"/>
        <v>5.9329425287356324E-2</v>
      </c>
      <c r="AS285" s="36">
        <f t="shared" si="351"/>
        <v>8.4865747126436797E-2</v>
      </c>
      <c r="AT285" s="288">
        <f t="shared" si="308"/>
        <v>0.11040206896551726</v>
      </c>
    </row>
    <row r="286" spans="2:46">
      <c r="B286" s="287"/>
      <c r="C286" s="707"/>
      <c r="D286" s="707"/>
      <c r="E286" s="707"/>
      <c r="F286" s="707"/>
      <c r="G286" s="707"/>
      <c r="H286" s="707"/>
      <c r="I286" s="707"/>
      <c r="J286" s="707"/>
      <c r="K286" s="707"/>
      <c r="L286" s="707"/>
      <c r="M286" s="707"/>
      <c r="N286" s="707"/>
      <c r="O286" s="707"/>
      <c r="P286" s="707"/>
      <c r="Q286" s="707"/>
      <c r="R286" s="707"/>
      <c r="S286" s="707"/>
      <c r="T286" s="707"/>
      <c r="U286" s="707"/>
      <c r="V286" s="707"/>
      <c r="W286" s="707"/>
      <c r="X286" s="707"/>
      <c r="Y286" s="707"/>
      <c r="Z286" s="707"/>
      <c r="AA286" s="36" t="str">
        <f t="shared" si="322"/>
        <v/>
      </c>
      <c r="AB286" s="288" t="str">
        <f t="shared" si="294"/>
        <v/>
      </c>
      <c r="AC286" s="288" t="str">
        <f t="shared" si="295"/>
        <v/>
      </c>
      <c r="AD286" s="288" t="str">
        <f t="shared" si="296"/>
        <v/>
      </c>
      <c r="AE286" s="288" t="str">
        <f t="shared" si="297"/>
        <v/>
      </c>
      <c r="AF286" s="288" t="str">
        <f t="shared" si="298"/>
        <v/>
      </c>
      <c r="AG286" s="288" t="str">
        <f t="shared" si="299"/>
        <v/>
      </c>
      <c r="AH286" s="288" t="str">
        <f t="shared" si="300"/>
        <v/>
      </c>
      <c r="AI286" s="36">
        <f t="shared" si="301"/>
        <v>-1</v>
      </c>
      <c r="AJ286" s="36">
        <f t="shared" si="302"/>
        <v>-1</v>
      </c>
      <c r="AK286" s="36">
        <f t="shared" si="303"/>
        <v>-1</v>
      </c>
      <c r="AL286" s="36"/>
      <c r="AM286" s="36" t="str">
        <f t="shared" si="324"/>
        <v/>
      </c>
      <c r="AN286" s="288" t="str">
        <f t="shared" si="304"/>
        <v/>
      </c>
      <c r="AO286" s="288" t="str">
        <f t="shared" si="305"/>
        <v/>
      </c>
      <c r="AP286" s="288" t="str">
        <f t="shared" si="306"/>
        <v/>
      </c>
      <c r="AQ286" s="36">
        <f t="shared" ref="AQ286:AS286" si="352">AQ285</f>
        <v>3.3793103448275866E-2</v>
      </c>
      <c r="AR286" s="36">
        <f t="shared" si="352"/>
        <v>5.9329425287356324E-2</v>
      </c>
      <c r="AS286" s="36">
        <f t="shared" si="352"/>
        <v>8.4865747126436797E-2</v>
      </c>
      <c r="AT286" s="288">
        <f t="shared" si="308"/>
        <v>0.11040206896551726</v>
      </c>
    </row>
    <row r="287" spans="2:46">
      <c r="B287" s="287"/>
      <c r="C287" s="707"/>
      <c r="D287" s="707"/>
      <c r="E287" s="707"/>
      <c r="F287" s="707"/>
      <c r="G287" s="707"/>
      <c r="H287" s="707"/>
      <c r="I287" s="707"/>
      <c r="J287" s="707"/>
      <c r="K287" s="707"/>
      <c r="L287" s="707"/>
      <c r="M287" s="707"/>
      <c r="N287" s="707"/>
      <c r="O287" s="707"/>
      <c r="P287" s="707"/>
      <c r="Q287" s="707"/>
      <c r="R287" s="707"/>
      <c r="S287" s="707"/>
      <c r="T287" s="707"/>
      <c r="U287" s="707"/>
      <c r="V287" s="707"/>
      <c r="W287" s="707"/>
      <c r="X287" s="707"/>
      <c r="Y287" s="707"/>
      <c r="Z287" s="707"/>
      <c r="AA287" s="36" t="str">
        <f t="shared" si="322"/>
        <v/>
      </c>
      <c r="AB287" s="288" t="str">
        <f t="shared" si="294"/>
        <v/>
      </c>
      <c r="AC287" s="288" t="str">
        <f t="shared" si="295"/>
        <v/>
      </c>
      <c r="AD287" s="288" t="str">
        <f t="shared" si="296"/>
        <v/>
      </c>
      <c r="AE287" s="288" t="str">
        <f t="shared" si="297"/>
        <v/>
      </c>
      <c r="AF287" s="288" t="str">
        <f t="shared" si="298"/>
        <v/>
      </c>
      <c r="AG287" s="288" t="str">
        <f t="shared" si="299"/>
        <v/>
      </c>
      <c r="AH287" s="288" t="str">
        <f t="shared" si="300"/>
        <v/>
      </c>
      <c r="AI287" s="36">
        <f t="shared" si="301"/>
        <v>-1</v>
      </c>
      <c r="AJ287" s="36">
        <f t="shared" si="302"/>
        <v>-1</v>
      </c>
      <c r="AK287" s="36">
        <f t="shared" si="303"/>
        <v>-1</v>
      </c>
      <c r="AL287" s="36"/>
      <c r="AM287" s="36" t="str">
        <f t="shared" si="324"/>
        <v/>
      </c>
      <c r="AN287" s="288" t="str">
        <f t="shared" si="304"/>
        <v/>
      </c>
      <c r="AO287" s="288" t="str">
        <f t="shared" si="305"/>
        <v/>
      </c>
      <c r="AP287" s="288" t="str">
        <f t="shared" si="306"/>
        <v/>
      </c>
      <c r="AQ287" s="36">
        <f t="shared" ref="AQ287:AS287" si="353">AQ286</f>
        <v>3.3793103448275866E-2</v>
      </c>
      <c r="AR287" s="36">
        <f t="shared" si="353"/>
        <v>5.9329425287356324E-2</v>
      </c>
      <c r="AS287" s="36">
        <f t="shared" si="353"/>
        <v>8.4865747126436797E-2</v>
      </c>
      <c r="AT287" s="288">
        <f t="shared" si="308"/>
        <v>0.11040206896551726</v>
      </c>
    </row>
    <row r="288" spans="2:46">
      <c r="B288" s="287"/>
      <c r="C288" s="707"/>
      <c r="D288" s="707"/>
      <c r="E288" s="707"/>
      <c r="F288" s="707"/>
      <c r="G288" s="707"/>
      <c r="H288" s="707"/>
      <c r="I288" s="707"/>
      <c r="J288" s="707"/>
      <c r="K288" s="707"/>
      <c r="L288" s="707"/>
      <c r="M288" s="707"/>
      <c r="N288" s="707"/>
      <c r="O288" s="707"/>
      <c r="P288" s="707"/>
      <c r="Q288" s="707"/>
      <c r="R288" s="707"/>
      <c r="S288" s="707"/>
      <c r="T288" s="707"/>
      <c r="U288" s="707"/>
      <c r="V288" s="707"/>
      <c r="W288" s="707"/>
      <c r="X288" s="707"/>
      <c r="Y288" s="707"/>
      <c r="Z288" s="707"/>
      <c r="AA288" s="36" t="str">
        <f t="shared" si="322"/>
        <v/>
      </c>
      <c r="AB288" s="288" t="str">
        <f t="shared" si="294"/>
        <v/>
      </c>
      <c r="AC288" s="288" t="str">
        <f t="shared" si="295"/>
        <v/>
      </c>
      <c r="AD288" s="288" t="str">
        <f t="shared" si="296"/>
        <v/>
      </c>
      <c r="AE288" s="288" t="str">
        <f t="shared" si="297"/>
        <v/>
      </c>
      <c r="AF288" s="288" t="str">
        <f t="shared" si="298"/>
        <v/>
      </c>
      <c r="AG288" s="288" t="str">
        <f t="shared" si="299"/>
        <v/>
      </c>
      <c r="AH288" s="288" t="str">
        <f t="shared" si="300"/>
        <v/>
      </c>
      <c r="AI288" s="36">
        <f t="shared" si="301"/>
        <v>-1</v>
      </c>
      <c r="AJ288" s="36">
        <f t="shared" si="302"/>
        <v>-1</v>
      </c>
      <c r="AK288" s="36">
        <f t="shared" si="303"/>
        <v>-1</v>
      </c>
      <c r="AL288" s="36"/>
      <c r="AM288" s="36" t="str">
        <f t="shared" si="324"/>
        <v/>
      </c>
      <c r="AN288" s="288" t="str">
        <f t="shared" si="304"/>
        <v/>
      </c>
      <c r="AO288" s="288" t="str">
        <f t="shared" si="305"/>
        <v/>
      </c>
      <c r="AP288" s="288" t="str">
        <f t="shared" si="306"/>
        <v/>
      </c>
      <c r="AQ288" s="36">
        <f t="shared" ref="AQ288:AS288" si="354">AQ287</f>
        <v>3.3793103448275866E-2</v>
      </c>
      <c r="AR288" s="36">
        <f t="shared" si="354"/>
        <v>5.9329425287356324E-2</v>
      </c>
      <c r="AS288" s="36">
        <f t="shared" si="354"/>
        <v>8.4865747126436797E-2</v>
      </c>
      <c r="AT288" s="288">
        <f t="shared" si="308"/>
        <v>0.11040206896551726</v>
      </c>
    </row>
    <row r="289" spans="2:46">
      <c r="B289" s="287"/>
      <c r="C289" s="707"/>
      <c r="D289" s="707"/>
      <c r="E289" s="707"/>
      <c r="F289" s="707"/>
      <c r="G289" s="707"/>
      <c r="H289" s="707"/>
      <c r="I289" s="707"/>
      <c r="J289" s="707"/>
      <c r="K289" s="707"/>
      <c r="L289" s="707"/>
      <c r="M289" s="707"/>
      <c r="N289" s="707"/>
      <c r="O289" s="707"/>
      <c r="P289" s="707"/>
      <c r="Q289" s="707"/>
      <c r="R289" s="707"/>
      <c r="S289" s="707"/>
      <c r="T289" s="707"/>
      <c r="U289" s="707"/>
      <c r="V289" s="707"/>
      <c r="W289" s="707"/>
      <c r="X289" s="707"/>
      <c r="Y289" s="707"/>
      <c r="Z289" s="707"/>
      <c r="AA289" s="36" t="str">
        <f t="shared" si="322"/>
        <v/>
      </c>
      <c r="AB289" s="288" t="str">
        <f t="shared" si="294"/>
        <v/>
      </c>
      <c r="AC289" s="288" t="str">
        <f t="shared" si="295"/>
        <v/>
      </c>
      <c r="AD289" s="288" t="str">
        <f t="shared" si="296"/>
        <v/>
      </c>
      <c r="AE289" s="288" t="str">
        <f t="shared" si="297"/>
        <v/>
      </c>
      <c r="AF289" s="288" t="str">
        <f t="shared" si="298"/>
        <v/>
      </c>
      <c r="AG289" s="288" t="str">
        <f t="shared" si="299"/>
        <v/>
      </c>
      <c r="AH289" s="288" t="str">
        <f t="shared" si="300"/>
        <v/>
      </c>
      <c r="AI289" s="36">
        <f t="shared" si="301"/>
        <v>-1</v>
      </c>
      <c r="AJ289" s="36">
        <f t="shared" si="302"/>
        <v>-1</v>
      </c>
      <c r="AK289" s="36">
        <f t="shared" si="303"/>
        <v>-1</v>
      </c>
      <c r="AL289" s="36"/>
      <c r="AM289" s="36" t="str">
        <f t="shared" si="324"/>
        <v/>
      </c>
      <c r="AN289" s="288" t="str">
        <f t="shared" si="304"/>
        <v/>
      </c>
      <c r="AO289" s="288" t="str">
        <f t="shared" si="305"/>
        <v/>
      </c>
      <c r="AP289" s="288" t="str">
        <f t="shared" si="306"/>
        <v/>
      </c>
      <c r="AQ289" s="36">
        <f t="shared" ref="AQ289:AS289" si="355">AQ288</f>
        <v>3.3793103448275866E-2</v>
      </c>
      <c r="AR289" s="36">
        <f t="shared" si="355"/>
        <v>5.9329425287356324E-2</v>
      </c>
      <c r="AS289" s="36">
        <f t="shared" si="355"/>
        <v>8.4865747126436797E-2</v>
      </c>
      <c r="AT289" s="288">
        <f t="shared" si="308"/>
        <v>0.11040206896551726</v>
      </c>
    </row>
    <row r="290" spans="2:46">
      <c r="B290" s="287"/>
      <c r="C290" s="707"/>
      <c r="D290" s="707"/>
      <c r="E290" s="707"/>
      <c r="F290" s="707"/>
      <c r="G290" s="707"/>
      <c r="H290" s="707"/>
      <c r="I290" s="707"/>
      <c r="J290" s="707"/>
      <c r="K290" s="707"/>
      <c r="L290" s="707"/>
      <c r="M290" s="707"/>
      <c r="N290" s="707"/>
      <c r="O290" s="707"/>
      <c r="P290" s="707"/>
      <c r="Q290" s="707"/>
      <c r="R290" s="707"/>
      <c r="S290" s="707"/>
      <c r="T290" s="707"/>
      <c r="U290" s="707"/>
      <c r="V290" s="707"/>
      <c r="W290" s="707"/>
      <c r="X290" s="707"/>
      <c r="Y290" s="707"/>
      <c r="Z290" s="707"/>
      <c r="AA290" s="36" t="str">
        <f t="shared" si="322"/>
        <v/>
      </c>
      <c r="AB290" s="288" t="str">
        <f t="shared" si="294"/>
        <v/>
      </c>
      <c r="AC290" s="288" t="str">
        <f t="shared" si="295"/>
        <v/>
      </c>
      <c r="AD290" s="288" t="str">
        <f t="shared" si="296"/>
        <v/>
      </c>
      <c r="AE290" s="288" t="str">
        <f t="shared" si="297"/>
        <v/>
      </c>
      <c r="AF290" s="288" t="str">
        <f t="shared" si="298"/>
        <v/>
      </c>
      <c r="AG290" s="288" t="str">
        <f t="shared" si="299"/>
        <v/>
      </c>
      <c r="AH290" s="288" t="str">
        <f t="shared" si="300"/>
        <v/>
      </c>
      <c r="AI290" s="36">
        <f t="shared" si="301"/>
        <v>-1</v>
      </c>
      <c r="AJ290" s="36">
        <f t="shared" si="302"/>
        <v>-1</v>
      </c>
      <c r="AK290" s="36">
        <f t="shared" si="303"/>
        <v>-1</v>
      </c>
      <c r="AL290" s="36"/>
      <c r="AM290" s="36" t="str">
        <f t="shared" si="324"/>
        <v/>
      </c>
      <c r="AN290" s="288" t="str">
        <f t="shared" si="304"/>
        <v/>
      </c>
      <c r="AO290" s="288" t="str">
        <f t="shared" si="305"/>
        <v/>
      </c>
      <c r="AP290" s="288" t="str">
        <f t="shared" si="306"/>
        <v/>
      </c>
      <c r="AQ290" s="36">
        <f t="shared" ref="AQ290:AS290" si="356">AQ289</f>
        <v>3.3793103448275866E-2</v>
      </c>
      <c r="AR290" s="36">
        <f t="shared" si="356"/>
        <v>5.9329425287356324E-2</v>
      </c>
      <c r="AS290" s="36">
        <f t="shared" si="356"/>
        <v>8.4865747126436797E-2</v>
      </c>
      <c r="AT290" s="288">
        <f t="shared" si="308"/>
        <v>0.11040206896551726</v>
      </c>
    </row>
    <row r="291" spans="2:46">
      <c r="B291" s="287"/>
      <c r="C291" s="707"/>
      <c r="D291" s="707"/>
      <c r="E291" s="707"/>
      <c r="F291" s="707"/>
      <c r="G291" s="707"/>
      <c r="H291" s="707"/>
      <c r="I291" s="707"/>
      <c r="J291" s="707"/>
      <c r="K291" s="707"/>
      <c r="L291" s="707"/>
      <c r="M291" s="707"/>
      <c r="N291" s="707"/>
      <c r="O291" s="707"/>
      <c r="P291" s="707"/>
      <c r="Q291" s="707"/>
      <c r="R291" s="707"/>
      <c r="S291" s="707"/>
      <c r="T291" s="707"/>
      <c r="U291" s="707"/>
      <c r="V291" s="707"/>
      <c r="W291" s="707"/>
      <c r="X291" s="707"/>
      <c r="Y291" s="707"/>
      <c r="Z291" s="707"/>
      <c r="AA291" s="36" t="str">
        <f t="shared" si="322"/>
        <v/>
      </c>
      <c r="AB291" s="288" t="str">
        <f t="shared" si="294"/>
        <v/>
      </c>
      <c r="AC291" s="288" t="str">
        <f t="shared" si="295"/>
        <v/>
      </c>
      <c r="AD291" s="288" t="str">
        <f t="shared" si="296"/>
        <v/>
      </c>
      <c r="AE291" s="288" t="str">
        <f t="shared" si="297"/>
        <v/>
      </c>
      <c r="AF291" s="288" t="str">
        <f t="shared" si="298"/>
        <v/>
      </c>
      <c r="AG291" s="288" t="str">
        <f t="shared" si="299"/>
        <v/>
      </c>
      <c r="AH291" s="288" t="str">
        <f t="shared" si="300"/>
        <v/>
      </c>
      <c r="AI291" s="36">
        <f t="shared" si="301"/>
        <v>-1</v>
      </c>
      <c r="AJ291" s="36">
        <f t="shared" si="302"/>
        <v>-1</v>
      </c>
      <c r="AK291" s="36">
        <f t="shared" si="303"/>
        <v>-1</v>
      </c>
      <c r="AL291" s="36"/>
      <c r="AM291" s="36" t="str">
        <f t="shared" si="324"/>
        <v/>
      </c>
      <c r="AN291" s="288" t="str">
        <f t="shared" si="304"/>
        <v/>
      </c>
      <c r="AO291" s="288" t="str">
        <f t="shared" si="305"/>
        <v/>
      </c>
      <c r="AP291" s="288" t="str">
        <f t="shared" si="306"/>
        <v/>
      </c>
      <c r="AQ291" s="36">
        <f t="shared" ref="AQ291:AS291" si="357">AQ290</f>
        <v>3.3793103448275866E-2</v>
      </c>
      <c r="AR291" s="36">
        <f t="shared" si="357"/>
        <v>5.9329425287356324E-2</v>
      </c>
      <c r="AS291" s="36">
        <f t="shared" si="357"/>
        <v>8.4865747126436797E-2</v>
      </c>
      <c r="AT291" s="288">
        <f t="shared" si="308"/>
        <v>0.11040206896551726</v>
      </c>
    </row>
    <row r="292" spans="2:46">
      <c r="B292" s="287"/>
      <c r="C292" s="707"/>
      <c r="D292" s="707"/>
      <c r="E292" s="707"/>
      <c r="F292" s="707"/>
      <c r="G292" s="707"/>
      <c r="H292" s="707"/>
      <c r="I292" s="707"/>
      <c r="J292" s="707"/>
      <c r="K292" s="707"/>
      <c r="L292" s="707"/>
      <c r="M292" s="707"/>
      <c r="N292" s="707"/>
      <c r="O292" s="707"/>
      <c r="P292" s="707"/>
      <c r="Q292" s="707"/>
      <c r="R292" s="707"/>
      <c r="S292" s="707"/>
      <c r="T292" s="707"/>
      <c r="U292" s="707"/>
      <c r="V292" s="707"/>
      <c r="W292" s="707"/>
      <c r="X292" s="707"/>
      <c r="Y292" s="707"/>
      <c r="Z292" s="707"/>
      <c r="AA292" s="36" t="str">
        <f t="shared" si="322"/>
        <v/>
      </c>
      <c r="AB292" s="288" t="str">
        <f t="shared" si="294"/>
        <v/>
      </c>
      <c r="AC292" s="288" t="str">
        <f t="shared" si="295"/>
        <v/>
      </c>
      <c r="AD292" s="288" t="str">
        <f t="shared" si="296"/>
        <v/>
      </c>
      <c r="AE292" s="288" t="str">
        <f t="shared" si="297"/>
        <v/>
      </c>
      <c r="AF292" s="288" t="str">
        <f t="shared" si="298"/>
        <v/>
      </c>
      <c r="AG292" s="288" t="str">
        <f t="shared" si="299"/>
        <v/>
      </c>
      <c r="AH292" s="288" t="str">
        <f t="shared" si="300"/>
        <v/>
      </c>
      <c r="AI292" s="36">
        <f t="shared" si="301"/>
        <v>-1</v>
      </c>
      <c r="AJ292" s="36">
        <f t="shared" si="302"/>
        <v>-1</v>
      </c>
      <c r="AK292" s="36">
        <f t="shared" si="303"/>
        <v>-1</v>
      </c>
      <c r="AL292" s="36"/>
      <c r="AM292" s="36" t="str">
        <f t="shared" si="324"/>
        <v/>
      </c>
      <c r="AN292" s="288" t="str">
        <f t="shared" si="304"/>
        <v/>
      </c>
      <c r="AO292" s="288" t="str">
        <f t="shared" si="305"/>
        <v/>
      </c>
      <c r="AP292" s="288" t="str">
        <f t="shared" si="306"/>
        <v/>
      </c>
      <c r="AQ292" s="36">
        <f t="shared" ref="AQ292:AS292" si="358">AQ291</f>
        <v>3.3793103448275866E-2</v>
      </c>
      <c r="AR292" s="36">
        <f t="shared" si="358"/>
        <v>5.9329425287356324E-2</v>
      </c>
      <c r="AS292" s="36">
        <f t="shared" si="358"/>
        <v>8.4865747126436797E-2</v>
      </c>
      <c r="AT292" s="288">
        <f t="shared" si="308"/>
        <v>0.11040206896551726</v>
      </c>
    </row>
    <row r="293" spans="2:46">
      <c r="B293" s="287"/>
      <c r="C293" s="707"/>
      <c r="D293" s="707"/>
      <c r="E293" s="707"/>
      <c r="F293" s="707"/>
      <c r="G293" s="707"/>
      <c r="H293" s="707"/>
      <c r="I293" s="707"/>
      <c r="J293" s="707"/>
      <c r="K293" s="707"/>
      <c r="L293" s="707"/>
      <c r="M293" s="707"/>
      <c r="N293" s="707"/>
      <c r="O293" s="707"/>
      <c r="P293" s="707"/>
      <c r="Q293" s="707"/>
      <c r="R293" s="707"/>
      <c r="S293" s="707"/>
      <c r="T293" s="707"/>
      <c r="U293" s="707"/>
      <c r="V293" s="707"/>
      <c r="W293" s="707"/>
      <c r="X293" s="707"/>
      <c r="Y293" s="707"/>
      <c r="Z293" s="707"/>
      <c r="AA293" s="36" t="str">
        <f t="shared" si="322"/>
        <v/>
      </c>
      <c r="AB293" s="288" t="str">
        <f t="shared" si="294"/>
        <v/>
      </c>
      <c r="AC293" s="288" t="str">
        <f t="shared" si="295"/>
        <v/>
      </c>
      <c r="AD293" s="288" t="str">
        <f t="shared" si="296"/>
        <v/>
      </c>
      <c r="AE293" s="288" t="str">
        <f t="shared" si="297"/>
        <v/>
      </c>
      <c r="AF293" s="288" t="str">
        <f t="shared" si="298"/>
        <v/>
      </c>
      <c r="AG293" s="288" t="str">
        <f t="shared" si="299"/>
        <v/>
      </c>
      <c r="AH293" s="288" t="str">
        <f t="shared" si="300"/>
        <v/>
      </c>
      <c r="AI293" s="36">
        <f t="shared" si="301"/>
        <v>-1</v>
      </c>
      <c r="AJ293" s="36">
        <f t="shared" si="302"/>
        <v>-1</v>
      </c>
      <c r="AK293" s="36">
        <f t="shared" si="303"/>
        <v>-1</v>
      </c>
      <c r="AL293" s="36"/>
      <c r="AM293" s="36" t="str">
        <f t="shared" si="324"/>
        <v/>
      </c>
      <c r="AN293" s="288" t="str">
        <f t="shared" si="304"/>
        <v/>
      </c>
      <c r="AO293" s="288" t="str">
        <f t="shared" si="305"/>
        <v/>
      </c>
      <c r="AP293" s="288" t="str">
        <f t="shared" si="306"/>
        <v/>
      </c>
      <c r="AQ293" s="36">
        <f t="shared" ref="AQ293:AS293" si="359">AQ292</f>
        <v>3.3793103448275866E-2</v>
      </c>
      <c r="AR293" s="36">
        <f t="shared" si="359"/>
        <v>5.9329425287356324E-2</v>
      </c>
      <c r="AS293" s="36">
        <f t="shared" si="359"/>
        <v>8.4865747126436797E-2</v>
      </c>
      <c r="AT293" s="288">
        <f t="shared" si="308"/>
        <v>0.11040206896551726</v>
      </c>
    </row>
    <row r="294" spans="2:46">
      <c r="B294" s="287"/>
      <c r="C294" s="707"/>
      <c r="D294" s="707"/>
      <c r="E294" s="707"/>
      <c r="F294" s="707"/>
      <c r="G294" s="707"/>
      <c r="H294" s="707"/>
      <c r="I294" s="707"/>
      <c r="J294" s="707"/>
      <c r="K294" s="707"/>
      <c r="L294" s="707"/>
      <c r="M294" s="707"/>
      <c r="N294" s="707"/>
      <c r="O294" s="707"/>
      <c r="P294" s="707"/>
      <c r="Q294" s="707"/>
      <c r="R294" s="707"/>
      <c r="S294" s="707"/>
      <c r="T294" s="707"/>
      <c r="U294" s="707"/>
      <c r="V294" s="707"/>
      <c r="W294" s="707"/>
      <c r="X294" s="707"/>
      <c r="Y294" s="707"/>
      <c r="Z294" s="707"/>
      <c r="AA294" s="36" t="str">
        <f t="shared" si="322"/>
        <v/>
      </c>
      <c r="AB294" s="288" t="str">
        <f t="shared" si="294"/>
        <v/>
      </c>
      <c r="AC294" s="288" t="str">
        <f t="shared" si="295"/>
        <v/>
      </c>
      <c r="AD294" s="288" t="str">
        <f t="shared" si="296"/>
        <v/>
      </c>
      <c r="AE294" s="288" t="str">
        <f t="shared" si="297"/>
        <v/>
      </c>
      <c r="AF294" s="288" t="str">
        <f t="shared" si="298"/>
        <v/>
      </c>
      <c r="AG294" s="288" t="str">
        <f t="shared" si="299"/>
        <v/>
      </c>
      <c r="AH294" s="288" t="str">
        <f t="shared" si="300"/>
        <v/>
      </c>
      <c r="AI294" s="36">
        <f t="shared" si="301"/>
        <v>-1</v>
      </c>
      <c r="AJ294" s="36">
        <f t="shared" si="302"/>
        <v>-1</v>
      </c>
      <c r="AK294" s="36">
        <f t="shared" si="303"/>
        <v>-1</v>
      </c>
      <c r="AL294" s="36"/>
      <c r="AM294" s="36" t="str">
        <f t="shared" si="324"/>
        <v/>
      </c>
      <c r="AN294" s="288" t="str">
        <f t="shared" si="304"/>
        <v/>
      </c>
      <c r="AO294" s="288" t="str">
        <f t="shared" si="305"/>
        <v/>
      </c>
      <c r="AP294" s="288" t="str">
        <f t="shared" si="306"/>
        <v/>
      </c>
      <c r="AQ294" s="36">
        <f t="shared" ref="AQ294:AS294" si="360">AQ293</f>
        <v>3.3793103448275866E-2</v>
      </c>
      <c r="AR294" s="36">
        <f t="shared" si="360"/>
        <v>5.9329425287356324E-2</v>
      </c>
      <c r="AS294" s="36">
        <f t="shared" si="360"/>
        <v>8.4865747126436797E-2</v>
      </c>
      <c r="AT294" s="288">
        <f t="shared" si="308"/>
        <v>0.11040206896551726</v>
      </c>
    </row>
    <row r="295" spans="2:46">
      <c r="B295" s="287"/>
      <c r="C295" s="707"/>
      <c r="D295" s="707"/>
      <c r="E295" s="707"/>
      <c r="F295" s="707"/>
      <c r="G295" s="707"/>
      <c r="H295" s="707"/>
      <c r="I295" s="707"/>
      <c r="J295" s="707"/>
      <c r="K295" s="707"/>
      <c r="L295" s="707"/>
      <c r="M295" s="707"/>
      <c r="N295" s="707"/>
      <c r="O295" s="707"/>
      <c r="P295" s="707"/>
      <c r="Q295" s="707"/>
      <c r="R295" s="707"/>
      <c r="S295" s="707"/>
      <c r="T295" s="707"/>
      <c r="U295" s="707"/>
      <c r="V295" s="707"/>
      <c r="W295" s="707"/>
      <c r="X295" s="707"/>
      <c r="Y295" s="707"/>
      <c r="Z295" s="707"/>
      <c r="AA295" s="36" t="str">
        <f t="shared" si="322"/>
        <v/>
      </c>
      <c r="AB295" s="288" t="str">
        <f t="shared" si="294"/>
        <v/>
      </c>
      <c r="AC295" s="288" t="str">
        <f t="shared" si="295"/>
        <v/>
      </c>
      <c r="AD295" s="288" t="str">
        <f t="shared" si="296"/>
        <v/>
      </c>
      <c r="AE295" s="288" t="str">
        <f t="shared" si="297"/>
        <v/>
      </c>
      <c r="AF295" s="288" t="str">
        <f t="shared" si="298"/>
        <v/>
      </c>
      <c r="AG295" s="288" t="str">
        <f t="shared" si="299"/>
        <v/>
      </c>
      <c r="AH295" s="288" t="str">
        <f t="shared" si="300"/>
        <v/>
      </c>
      <c r="AI295" s="36">
        <f t="shared" si="301"/>
        <v>-1</v>
      </c>
      <c r="AJ295" s="36">
        <f t="shared" si="302"/>
        <v>-1</v>
      </c>
      <c r="AK295" s="36">
        <f t="shared" si="303"/>
        <v>-1</v>
      </c>
      <c r="AL295" s="36"/>
      <c r="AM295" s="36" t="str">
        <f t="shared" si="324"/>
        <v/>
      </c>
      <c r="AN295" s="288" t="str">
        <f t="shared" si="304"/>
        <v/>
      </c>
      <c r="AO295" s="288" t="str">
        <f t="shared" si="305"/>
        <v/>
      </c>
      <c r="AP295" s="288" t="str">
        <f t="shared" si="306"/>
        <v/>
      </c>
      <c r="AQ295" s="36">
        <f t="shared" ref="AQ295:AS295" si="361">AQ294</f>
        <v>3.3793103448275866E-2</v>
      </c>
      <c r="AR295" s="36">
        <f t="shared" si="361"/>
        <v>5.9329425287356324E-2</v>
      </c>
      <c r="AS295" s="36">
        <f t="shared" si="361"/>
        <v>8.4865747126436797E-2</v>
      </c>
      <c r="AT295" s="288">
        <f t="shared" si="308"/>
        <v>0.11040206896551726</v>
      </c>
    </row>
    <row r="296" spans="2:46">
      <c r="B296" s="287"/>
      <c r="C296" s="707"/>
      <c r="D296" s="707"/>
      <c r="E296" s="707"/>
      <c r="F296" s="707"/>
      <c r="G296" s="707"/>
      <c r="H296" s="707"/>
      <c r="I296" s="707"/>
      <c r="J296" s="707"/>
      <c r="K296" s="707"/>
      <c r="L296" s="707"/>
      <c r="M296" s="707"/>
      <c r="N296" s="707"/>
      <c r="O296" s="707"/>
      <c r="P296" s="707"/>
      <c r="Q296" s="707"/>
      <c r="R296" s="707"/>
      <c r="S296" s="707"/>
      <c r="T296" s="707"/>
      <c r="U296" s="707"/>
      <c r="V296" s="707"/>
      <c r="W296" s="707"/>
      <c r="X296" s="707"/>
      <c r="Y296" s="707"/>
      <c r="Z296" s="707"/>
      <c r="AA296" s="36" t="str">
        <f t="shared" si="322"/>
        <v/>
      </c>
      <c r="AB296" s="288" t="str">
        <f t="shared" si="294"/>
        <v/>
      </c>
      <c r="AC296" s="288" t="str">
        <f t="shared" si="295"/>
        <v/>
      </c>
      <c r="AD296" s="288" t="str">
        <f t="shared" si="296"/>
        <v/>
      </c>
      <c r="AE296" s="288" t="str">
        <f t="shared" si="297"/>
        <v/>
      </c>
      <c r="AF296" s="288" t="str">
        <f t="shared" si="298"/>
        <v/>
      </c>
      <c r="AG296" s="288" t="str">
        <f t="shared" si="299"/>
        <v/>
      </c>
      <c r="AH296" s="288" t="str">
        <f t="shared" si="300"/>
        <v/>
      </c>
      <c r="AI296" s="36">
        <f t="shared" si="301"/>
        <v>-1</v>
      </c>
      <c r="AJ296" s="36">
        <f t="shared" si="302"/>
        <v>-1</v>
      </c>
      <c r="AK296" s="36">
        <f t="shared" si="303"/>
        <v>-1</v>
      </c>
      <c r="AL296" s="36"/>
      <c r="AM296" s="36" t="str">
        <f t="shared" si="324"/>
        <v/>
      </c>
      <c r="AN296" s="288" t="str">
        <f t="shared" si="304"/>
        <v/>
      </c>
      <c r="AO296" s="288" t="str">
        <f t="shared" si="305"/>
        <v/>
      </c>
      <c r="AP296" s="288" t="str">
        <f t="shared" si="306"/>
        <v/>
      </c>
      <c r="AQ296" s="36">
        <f t="shared" ref="AQ296:AS296" si="362">AQ295</f>
        <v>3.3793103448275866E-2</v>
      </c>
      <c r="AR296" s="36">
        <f t="shared" si="362"/>
        <v>5.9329425287356324E-2</v>
      </c>
      <c r="AS296" s="36">
        <f t="shared" si="362"/>
        <v>8.4865747126436797E-2</v>
      </c>
      <c r="AT296" s="288">
        <f t="shared" si="308"/>
        <v>0.11040206896551726</v>
      </c>
    </row>
    <row r="297" spans="2:46">
      <c r="B297" s="287"/>
      <c r="C297" s="707"/>
      <c r="D297" s="707"/>
      <c r="E297" s="707"/>
      <c r="F297" s="707"/>
      <c r="G297" s="707"/>
      <c r="H297" s="707"/>
      <c r="I297" s="707"/>
      <c r="J297" s="707"/>
      <c r="K297" s="707"/>
      <c r="L297" s="707"/>
      <c r="M297" s="707"/>
      <c r="N297" s="707"/>
      <c r="O297" s="707"/>
      <c r="P297" s="707"/>
      <c r="Q297" s="707"/>
      <c r="R297" s="707"/>
      <c r="S297" s="707"/>
      <c r="T297" s="707"/>
      <c r="U297" s="707"/>
      <c r="V297" s="707"/>
      <c r="W297" s="707"/>
      <c r="X297" s="707"/>
      <c r="Y297" s="707"/>
      <c r="Z297" s="707"/>
      <c r="AA297" s="36" t="str">
        <f t="shared" si="322"/>
        <v/>
      </c>
      <c r="AB297" s="288" t="str">
        <f t="shared" si="294"/>
        <v/>
      </c>
      <c r="AC297" s="288" t="str">
        <f t="shared" si="295"/>
        <v/>
      </c>
      <c r="AD297" s="288" t="str">
        <f t="shared" si="296"/>
        <v/>
      </c>
      <c r="AE297" s="288" t="str">
        <f t="shared" si="297"/>
        <v/>
      </c>
      <c r="AF297" s="288" t="str">
        <f t="shared" si="298"/>
        <v/>
      </c>
      <c r="AG297" s="288" t="str">
        <f t="shared" si="299"/>
        <v/>
      </c>
      <c r="AH297" s="288" t="str">
        <f t="shared" si="300"/>
        <v/>
      </c>
      <c r="AI297" s="36">
        <f t="shared" si="301"/>
        <v>-1</v>
      </c>
      <c r="AJ297" s="36">
        <f t="shared" si="302"/>
        <v>-1</v>
      </c>
      <c r="AK297" s="36">
        <f t="shared" si="303"/>
        <v>-1</v>
      </c>
      <c r="AL297" s="36"/>
      <c r="AM297" s="36" t="str">
        <f t="shared" si="324"/>
        <v/>
      </c>
      <c r="AN297" s="288" t="str">
        <f t="shared" si="304"/>
        <v/>
      </c>
      <c r="AO297" s="288" t="str">
        <f t="shared" si="305"/>
        <v/>
      </c>
      <c r="AP297" s="288" t="str">
        <f t="shared" si="306"/>
        <v/>
      </c>
      <c r="AQ297" s="36">
        <f t="shared" ref="AQ297:AS297" si="363">AQ296</f>
        <v>3.3793103448275866E-2</v>
      </c>
      <c r="AR297" s="36">
        <f t="shared" si="363"/>
        <v>5.9329425287356324E-2</v>
      </c>
      <c r="AS297" s="36">
        <f t="shared" si="363"/>
        <v>8.4865747126436797E-2</v>
      </c>
      <c r="AT297" s="288">
        <f t="shared" si="308"/>
        <v>0.11040206896551726</v>
      </c>
    </row>
    <row r="298" spans="2:46">
      <c r="B298" s="287"/>
      <c r="C298" s="707"/>
      <c r="D298" s="707"/>
      <c r="E298" s="707"/>
      <c r="F298" s="707"/>
      <c r="G298" s="707"/>
      <c r="H298" s="707"/>
      <c r="I298" s="707"/>
      <c r="J298" s="707"/>
      <c r="K298" s="707"/>
      <c r="L298" s="707"/>
      <c r="M298" s="707"/>
      <c r="N298" s="707"/>
      <c r="O298" s="707"/>
      <c r="P298" s="707"/>
      <c r="Q298" s="707"/>
      <c r="R298" s="707"/>
      <c r="S298" s="707"/>
      <c r="T298" s="707"/>
      <c r="U298" s="707"/>
      <c r="V298" s="707"/>
      <c r="W298" s="707"/>
      <c r="X298" s="707"/>
      <c r="Y298" s="707"/>
      <c r="Z298" s="707"/>
      <c r="AA298" s="36" t="str">
        <f t="shared" si="322"/>
        <v/>
      </c>
      <c r="AB298" s="288" t="str">
        <f t="shared" si="294"/>
        <v/>
      </c>
      <c r="AC298" s="288" t="str">
        <f t="shared" si="295"/>
        <v/>
      </c>
      <c r="AD298" s="288" t="str">
        <f t="shared" si="296"/>
        <v/>
      </c>
      <c r="AE298" s="288" t="str">
        <f t="shared" si="297"/>
        <v/>
      </c>
      <c r="AF298" s="288" t="str">
        <f t="shared" si="298"/>
        <v/>
      </c>
      <c r="AG298" s="288" t="str">
        <f t="shared" si="299"/>
        <v/>
      </c>
      <c r="AH298" s="288" t="str">
        <f t="shared" si="300"/>
        <v/>
      </c>
      <c r="AI298" s="36">
        <f t="shared" si="301"/>
        <v>-1</v>
      </c>
      <c r="AJ298" s="36">
        <f t="shared" si="302"/>
        <v>-1</v>
      </c>
      <c r="AK298" s="36">
        <f t="shared" si="303"/>
        <v>-1</v>
      </c>
      <c r="AL298" s="36"/>
      <c r="AM298" s="36" t="str">
        <f t="shared" si="324"/>
        <v/>
      </c>
      <c r="AN298" s="288" t="str">
        <f t="shared" si="304"/>
        <v/>
      </c>
      <c r="AO298" s="288" t="str">
        <f t="shared" si="305"/>
        <v/>
      </c>
      <c r="AP298" s="288" t="str">
        <f t="shared" si="306"/>
        <v/>
      </c>
      <c r="AQ298" s="36">
        <f t="shared" ref="AQ298:AS298" si="364">AQ297</f>
        <v>3.3793103448275866E-2</v>
      </c>
      <c r="AR298" s="36">
        <f t="shared" si="364"/>
        <v>5.9329425287356324E-2</v>
      </c>
      <c r="AS298" s="36">
        <f t="shared" si="364"/>
        <v>8.4865747126436797E-2</v>
      </c>
      <c r="AT298" s="288">
        <f t="shared" si="308"/>
        <v>0.11040206896551726</v>
      </c>
    </row>
    <row r="299" spans="2:46">
      <c r="B299" s="287"/>
      <c r="C299" s="707"/>
      <c r="D299" s="707"/>
      <c r="E299" s="707"/>
      <c r="F299" s="707"/>
      <c r="G299" s="707"/>
      <c r="H299" s="707"/>
      <c r="I299" s="707"/>
      <c r="J299" s="707"/>
      <c r="K299" s="707"/>
      <c r="L299" s="707"/>
      <c r="M299" s="707"/>
      <c r="N299" s="707"/>
      <c r="O299" s="707"/>
      <c r="P299" s="707"/>
      <c r="Q299" s="707"/>
      <c r="R299" s="707"/>
      <c r="S299" s="707"/>
      <c r="T299" s="707"/>
      <c r="U299" s="707"/>
      <c r="V299" s="707"/>
      <c r="W299" s="707"/>
      <c r="X299" s="707"/>
      <c r="Y299" s="707"/>
      <c r="Z299" s="707"/>
      <c r="AA299" s="36" t="str">
        <f t="shared" si="322"/>
        <v/>
      </c>
      <c r="AB299" s="288" t="str">
        <f t="shared" si="294"/>
        <v/>
      </c>
      <c r="AC299" s="288" t="str">
        <f t="shared" si="295"/>
        <v/>
      </c>
      <c r="AD299" s="288" t="str">
        <f t="shared" si="296"/>
        <v/>
      </c>
      <c r="AE299" s="288" t="str">
        <f t="shared" si="297"/>
        <v/>
      </c>
      <c r="AF299" s="288" t="str">
        <f t="shared" si="298"/>
        <v/>
      </c>
      <c r="AG299" s="288" t="str">
        <f t="shared" si="299"/>
        <v/>
      </c>
      <c r="AH299" s="288" t="str">
        <f t="shared" si="300"/>
        <v/>
      </c>
      <c r="AI299" s="36">
        <f t="shared" si="301"/>
        <v>-1</v>
      </c>
      <c r="AJ299" s="36">
        <f t="shared" si="302"/>
        <v>-1</v>
      </c>
      <c r="AK299" s="36">
        <f t="shared" si="303"/>
        <v>-1</v>
      </c>
      <c r="AL299" s="36"/>
      <c r="AM299" s="36" t="str">
        <f t="shared" si="324"/>
        <v/>
      </c>
      <c r="AN299" s="288" t="str">
        <f t="shared" si="304"/>
        <v/>
      </c>
      <c r="AO299" s="288" t="str">
        <f t="shared" si="305"/>
        <v/>
      </c>
      <c r="AP299" s="288" t="str">
        <f t="shared" si="306"/>
        <v/>
      </c>
      <c r="AQ299" s="36">
        <f t="shared" ref="AQ299:AS299" si="365">AQ298</f>
        <v>3.3793103448275866E-2</v>
      </c>
      <c r="AR299" s="36">
        <f t="shared" si="365"/>
        <v>5.9329425287356324E-2</v>
      </c>
      <c r="AS299" s="36">
        <f t="shared" si="365"/>
        <v>8.4865747126436797E-2</v>
      </c>
      <c r="AT299" s="288">
        <f t="shared" si="308"/>
        <v>0.11040206896551726</v>
      </c>
    </row>
    <row r="300" spans="2:46">
      <c r="B300" s="287"/>
      <c r="C300" s="707"/>
      <c r="D300" s="707"/>
      <c r="E300" s="707"/>
      <c r="F300" s="707"/>
      <c r="G300" s="707"/>
      <c r="H300" s="707"/>
      <c r="I300" s="707"/>
      <c r="J300" s="707"/>
      <c r="K300" s="707"/>
      <c r="L300" s="707"/>
      <c r="M300" s="707"/>
      <c r="N300" s="707"/>
      <c r="O300" s="707"/>
      <c r="P300" s="707"/>
      <c r="Q300" s="707"/>
      <c r="R300" s="707"/>
      <c r="S300" s="707"/>
      <c r="T300" s="707"/>
      <c r="U300" s="707"/>
      <c r="V300" s="707"/>
      <c r="W300" s="707"/>
      <c r="X300" s="707"/>
      <c r="Y300" s="707"/>
      <c r="Z300" s="707"/>
      <c r="AA300" s="36" t="str">
        <f t="shared" si="322"/>
        <v/>
      </c>
      <c r="AB300" s="288" t="str">
        <f t="shared" si="294"/>
        <v/>
      </c>
      <c r="AC300" s="288" t="str">
        <f t="shared" si="295"/>
        <v/>
      </c>
      <c r="AD300" s="288" t="str">
        <f t="shared" si="296"/>
        <v/>
      </c>
      <c r="AE300" s="288" t="str">
        <f t="shared" si="297"/>
        <v/>
      </c>
      <c r="AF300" s="288" t="str">
        <f t="shared" si="298"/>
        <v/>
      </c>
      <c r="AG300" s="288" t="str">
        <f t="shared" si="299"/>
        <v/>
      </c>
      <c r="AH300" s="288" t="str">
        <f t="shared" si="300"/>
        <v/>
      </c>
      <c r="AI300" s="36">
        <f t="shared" si="301"/>
        <v>-1</v>
      </c>
      <c r="AJ300" s="36">
        <f t="shared" si="302"/>
        <v>-1</v>
      </c>
      <c r="AK300" s="36">
        <f t="shared" si="303"/>
        <v>-1</v>
      </c>
      <c r="AL300" s="36"/>
      <c r="AM300" s="36" t="str">
        <f t="shared" si="324"/>
        <v/>
      </c>
      <c r="AN300" s="288" t="str">
        <f t="shared" si="304"/>
        <v/>
      </c>
      <c r="AO300" s="288" t="str">
        <f t="shared" si="305"/>
        <v/>
      </c>
      <c r="AP300" s="288" t="str">
        <f t="shared" si="306"/>
        <v/>
      </c>
      <c r="AQ300" s="36">
        <f t="shared" ref="AQ300:AS300" si="366">AQ299</f>
        <v>3.3793103448275866E-2</v>
      </c>
      <c r="AR300" s="36">
        <f t="shared" si="366"/>
        <v>5.9329425287356324E-2</v>
      </c>
      <c r="AS300" s="36">
        <f t="shared" si="366"/>
        <v>8.4865747126436797E-2</v>
      </c>
      <c r="AT300" s="288">
        <f t="shared" si="308"/>
        <v>0.11040206896551726</v>
      </c>
    </row>
    <row r="301" spans="2:46">
      <c r="B301" s="287"/>
      <c r="C301" s="707"/>
      <c r="D301" s="707"/>
      <c r="E301" s="707"/>
      <c r="F301" s="707"/>
      <c r="G301" s="707"/>
      <c r="H301" s="707"/>
      <c r="I301" s="707"/>
      <c r="J301" s="707"/>
      <c r="K301" s="707"/>
      <c r="L301" s="707"/>
      <c r="M301" s="707"/>
      <c r="N301" s="707"/>
      <c r="O301" s="707"/>
      <c r="P301" s="707"/>
      <c r="Q301" s="707"/>
      <c r="R301" s="707"/>
      <c r="S301" s="707"/>
      <c r="T301" s="707"/>
      <c r="U301" s="707"/>
      <c r="V301" s="707"/>
      <c r="W301" s="707"/>
      <c r="X301" s="707"/>
      <c r="Y301" s="707"/>
      <c r="Z301" s="707"/>
      <c r="AA301" s="36" t="str">
        <f t="shared" si="322"/>
        <v/>
      </c>
      <c r="AB301" s="288" t="str">
        <f t="shared" si="294"/>
        <v/>
      </c>
      <c r="AC301" s="288" t="str">
        <f t="shared" si="295"/>
        <v/>
      </c>
      <c r="AD301" s="288" t="str">
        <f t="shared" si="296"/>
        <v/>
      </c>
      <c r="AE301" s="288" t="str">
        <f t="shared" si="297"/>
        <v/>
      </c>
      <c r="AF301" s="288" t="str">
        <f t="shared" si="298"/>
        <v/>
      </c>
      <c r="AG301" s="288" t="str">
        <f t="shared" si="299"/>
        <v/>
      </c>
      <c r="AH301" s="288" t="str">
        <f t="shared" si="300"/>
        <v/>
      </c>
      <c r="AI301" s="36">
        <f t="shared" si="301"/>
        <v>-1</v>
      </c>
      <c r="AJ301" s="36">
        <f t="shared" si="302"/>
        <v>-1</v>
      </c>
      <c r="AK301" s="36">
        <f t="shared" si="303"/>
        <v>-1</v>
      </c>
      <c r="AL301" s="36"/>
      <c r="AM301" s="36" t="str">
        <f t="shared" si="324"/>
        <v/>
      </c>
      <c r="AN301" s="288" t="str">
        <f t="shared" si="304"/>
        <v/>
      </c>
      <c r="AO301" s="288" t="str">
        <f t="shared" si="305"/>
        <v/>
      </c>
      <c r="AP301" s="288" t="str">
        <f t="shared" si="306"/>
        <v/>
      </c>
      <c r="AQ301" s="36">
        <f t="shared" ref="AQ301:AS301" si="367">AQ300</f>
        <v>3.3793103448275866E-2</v>
      </c>
      <c r="AR301" s="36">
        <f t="shared" si="367"/>
        <v>5.9329425287356324E-2</v>
      </c>
      <c r="AS301" s="36">
        <f t="shared" si="367"/>
        <v>8.4865747126436797E-2</v>
      </c>
      <c r="AT301" s="288">
        <f t="shared" si="308"/>
        <v>0.11040206896551726</v>
      </c>
    </row>
    <row r="302" spans="2:46">
      <c r="B302" s="287"/>
      <c r="C302" s="707"/>
      <c r="D302" s="707"/>
      <c r="E302" s="707"/>
      <c r="F302" s="707"/>
      <c r="G302" s="707"/>
      <c r="H302" s="707"/>
      <c r="I302" s="707"/>
      <c r="J302" s="707"/>
      <c r="K302" s="707"/>
      <c r="L302" s="707"/>
      <c r="M302" s="707"/>
      <c r="N302" s="707"/>
      <c r="O302" s="707"/>
      <c r="P302" s="707"/>
      <c r="Q302" s="707"/>
      <c r="R302" s="707"/>
      <c r="S302" s="707"/>
      <c r="T302" s="707"/>
      <c r="U302" s="707"/>
      <c r="V302" s="707"/>
      <c r="W302" s="707"/>
      <c r="X302" s="707"/>
      <c r="Y302" s="707"/>
      <c r="Z302" s="707"/>
      <c r="AA302" s="36" t="str">
        <f t="shared" si="322"/>
        <v/>
      </c>
      <c r="AB302" s="288" t="str">
        <f t="shared" si="294"/>
        <v/>
      </c>
      <c r="AC302" s="288" t="str">
        <f t="shared" si="295"/>
        <v/>
      </c>
      <c r="AD302" s="288" t="str">
        <f t="shared" si="296"/>
        <v/>
      </c>
      <c r="AE302" s="288" t="str">
        <f t="shared" si="297"/>
        <v/>
      </c>
      <c r="AF302" s="288" t="str">
        <f t="shared" si="298"/>
        <v/>
      </c>
      <c r="AG302" s="288" t="str">
        <f t="shared" si="299"/>
        <v/>
      </c>
      <c r="AH302" s="288" t="str">
        <f t="shared" si="300"/>
        <v/>
      </c>
      <c r="AI302" s="36">
        <f t="shared" si="301"/>
        <v>-1</v>
      </c>
      <c r="AJ302" s="36">
        <f t="shared" si="302"/>
        <v>-1</v>
      </c>
      <c r="AK302" s="36">
        <f t="shared" si="303"/>
        <v>-1</v>
      </c>
      <c r="AL302" s="36"/>
      <c r="AM302" s="36" t="str">
        <f t="shared" si="324"/>
        <v/>
      </c>
      <c r="AN302" s="288" t="str">
        <f t="shared" si="304"/>
        <v/>
      </c>
      <c r="AO302" s="288" t="str">
        <f t="shared" si="305"/>
        <v/>
      </c>
      <c r="AP302" s="288" t="str">
        <f t="shared" si="306"/>
        <v/>
      </c>
      <c r="AQ302" s="36">
        <f t="shared" ref="AQ302:AS302" si="368">AQ301</f>
        <v>3.3793103448275866E-2</v>
      </c>
      <c r="AR302" s="36">
        <f t="shared" si="368"/>
        <v>5.9329425287356324E-2</v>
      </c>
      <c r="AS302" s="36">
        <f t="shared" si="368"/>
        <v>8.4865747126436797E-2</v>
      </c>
      <c r="AT302" s="288">
        <f t="shared" si="308"/>
        <v>0.11040206896551726</v>
      </c>
    </row>
    <row r="303" spans="2:46">
      <c r="B303" s="287"/>
      <c r="C303" s="707"/>
      <c r="D303" s="707"/>
      <c r="E303" s="707"/>
      <c r="F303" s="707"/>
      <c r="G303" s="707"/>
      <c r="H303" s="707"/>
      <c r="I303" s="707"/>
      <c r="J303" s="707"/>
      <c r="K303" s="707"/>
      <c r="L303" s="707"/>
      <c r="M303" s="707"/>
      <c r="N303" s="707"/>
      <c r="O303" s="707"/>
      <c r="P303" s="707"/>
      <c r="Q303" s="707"/>
      <c r="R303" s="707"/>
      <c r="S303" s="707"/>
      <c r="T303" s="707"/>
      <c r="U303" s="707"/>
      <c r="V303" s="707"/>
      <c r="W303" s="707"/>
      <c r="X303" s="707"/>
      <c r="Y303" s="707"/>
      <c r="Z303" s="707"/>
      <c r="AA303" s="36" t="str">
        <f t="shared" si="322"/>
        <v/>
      </c>
      <c r="AB303" s="288" t="str">
        <f t="shared" si="294"/>
        <v/>
      </c>
      <c r="AC303" s="288" t="str">
        <f t="shared" si="295"/>
        <v/>
      </c>
      <c r="AD303" s="288" t="str">
        <f t="shared" si="296"/>
        <v/>
      </c>
      <c r="AE303" s="288" t="str">
        <f t="shared" si="297"/>
        <v/>
      </c>
      <c r="AF303" s="288" t="str">
        <f t="shared" si="298"/>
        <v/>
      </c>
      <c r="AG303" s="288" t="str">
        <f t="shared" si="299"/>
        <v/>
      </c>
      <c r="AH303" s="288" t="str">
        <f t="shared" si="300"/>
        <v/>
      </c>
      <c r="AI303" s="36">
        <f t="shared" si="301"/>
        <v>-1</v>
      </c>
      <c r="AJ303" s="36">
        <f t="shared" si="302"/>
        <v>-1</v>
      </c>
      <c r="AK303" s="36">
        <f t="shared" si="303"/>
        <v>-1</v>
      </c>
      <c r="AL303" s="36"/>
      <c r="AM303" s="36" t="str">
        <f t="shared" si="324"/>
        <v/>
      </c>
      <c r="AN303" s="288" t="str">
        <f t="shared" si="304"/>
        <v/>
      </c>
      <c r="AO303" s="288" t="str">
        <f t="shared" si="305"/>
        <v/>
      </c>
      <c r="AP303" s="288" t="str">
        <f t="shared" si="306"/>
        <v/>
      </c>
      <c r="AQ303" s="36">
        <f t="shared" ref="AQ303:AS303" si="369">AQ302</f>
        <v>3.3793103448275866E-2</v>
      </c>
      <c r="AR303" s="36">
        <f t="shared" si="369"/>
        <v>5.9329425287356324E-2</v>
      </c>
      <c r="AS303" s="36">
        <f t="shared" si="369"/>
        <v>8.4865747126436797E-2</v>
      </c>
      <c r="AT303" s="288">
        <f t="shared" si="308"/>
        <v>0.11040206896551726</v>
      </c>
    </row>
    <row r="304" spans="2:46">
      <c r="B304" s="287"/>
      <c r="C304" s="707"/>
      <c r="D304" s="707"/>
      <c r="E304" s="707"/>
      <c r="F304" s="707"/>
      <c r="G304" s="707"/>
      <c r="H304" s="707"/>
      <c r="I304" s="707"/>
      <c r="J304" s="707"/>
      <c r="K304" s="707"/>
      <c r="L304" s="707"/>
      <c r="M304" s="707"/>
      <c r="N304" s="707"/>
      <c r="O304" s="707"/>
      <c r="P304" s="707"/>
      <c r="Q304" s="707"/>
      <c r="R304" s="707"/>
      <c r="S304" s="707"/>
      <c r="T304" s="707"/>
      <c r="U304" s="707"/>
      <c r="V304" s="707"/>
      <c r="W304" s="707"/>
      <c r="X304" s="707"/>
      <c r="Y304" s="707"/>
      <c r="Z304" s="707"/>
      <c r="AA304" s="36" t="str">
        <f t="shared" si="322"/>
        <v/>
      </c>
      <c r="AB304" s="288" t="str">
        <f t="shared" si="294"/>
        <v/>
      </c>
      <c r="AC304" s="288" t="str">
        <f t="shared" si="295"/>
        <v/>
      </c>
      <c r="AD304" s="288" t="str">
        <f t="shared" si="296"/>
        <v/>
      </c>
      <c r="AE304" s="288" t="str">
        <f t="shared" si="297"/>
        <v/>
      </c>
      <c r="AF304" s="288" t="str">
        <f t="shared" si="298"/>
        <v/>
      </c>
      <c r="AG304" s="288" t="str">
        <f t="shared" si="299"/>
        <v/>
      </c>
      <c r="AH304" s="288" t="str">
        <f t="shared" si="300"/>
        <v/>
      </c>
      <c r="AI304" s="36">
        <f t="shared" si="301"/>
        <v>-1</v>
      </c>
      <c r="AJ304" s="36">
        <f t="shared" si="302"/>
        <v>-1</v>
      </c>
      <c r="AK304" s="36">
        <f t="shared" si="303"/>
        <v>-1</v>
      </c>
      <c r="AL304" s="36"/>
      <c r="AM304" s="36" t="str">
        <f t="shared" si="324"/>
        <v/>
      </c>
      <c r="AN304" s="288" t="str">
        <f t="shared" si="304"/>
        <v/>
      </c>
      <c r="AO304" s="288" t="str">
        <f t="shared" si="305"/>
        <v/>
      </c>
      <c r="AP304" s="288" t="str">
        <f t="shared" si="306"/>
        <v/>
      </c>
      <c r="AQ304" s="36">
        <f t="shared" ref="AQ304:AS304" si="370">AQ303</f>
        <v>3.3793103448275866E-2</v>
      </c>
      <c r="AR304" s="36">
        <f t="shared" si="370"/>
        <v>5.9329425287356324E-2</v>
      </c>
      <c r="AS304" s="36">
        <f t="shared" si="370"/>
        <v>8.4865747126436797E-2</v>
      </c>
      <c r="AT304" s="288">
        <f t="shared" si="308"/>
        <v>0.11040206896551726</v>
      </c>
    </row>
    <row r="305" spans="2:46">
      <c r="B305" s="287"/>
      <c r="C305" s="707"/>
      <c r="D305" s="707"/>
      <c r="E305" s="707"/>
      <c r="F305" s="707"/>
      <c r="G305" s="707"/>
      <c r="H305" s="707"/>
      <c r="I305" s="707"/>
      <c r="J305" s="707"/>
      <c r="K305" s="707"/>
      <c r="L305" s="707"/>
      <c r="M305" s="707"/>
      <c r="N305" s="707"/>
      <c r="O305" s="707"/>
      <c r="P305" s="707"/>
      <c r="Q305" s="707"/>
      <c r="R305" s="707"/>
      <c r="S305" s="707"/>
      <c r="T305" s="707"/>
      <c r="U305" s="707"/>
      <c r="V305" s="707"/>
      <c r="W305" s="707"/>
      <c r="X305" s="707"/>
      <c r="Y305" s="707"/>
      <c r="Z305" s="707"/>
      <c r="AA305" s="36" t="str">
        <f t="shared" si="322"/>
        <v/>
      </c>
      <c r="AB305" s="288" t="str">
        <f t="shared" si="294"/>
        <v/>
      </c>
      <c r="AC305" s="288" t="str">
        <f t="shared" si="295"/>
        <v/>
      </c>
      <c r="AD305" s="288" t="str">
        <f t="shared" si="296"/>
        <v/>
      </c>
      <c r="AE305" s="288" t="str">
        <f t="shared" si="297"/>
        <v/>
      </c>
      <c r="AF305" s="288" t="str">
        <f t="shared" si="298"/>
        <v/>
      </c>
      <c r="AG305" s="288" t="str">
        <f t="shared" si="299"/>
        <v/>
      </c>
      <c r="AH305" s="288" t="str">
        <f t="shared" si="300"/>
        <v/>
      </c>
      <c r="AI305" s="36">
        <f t="shared" si="301"/>
        <v>-1</v>
      </c>
      <c r="AJ305" s="36">
        <f t="shared" si="302"/>
        <v>-1</v>
      </c>
      <c r="AK305" s="36">
        <f t="shared" si="303"/>
        <v>-1</v>
      </c>
      <c r="AL305" s="36"/>
      <c r="AM305" s="36" t="str">
        <f t="shared" si="324"/>
        <v/>
      </c>
      <c r="AN305" s="288" t="str">
        <f t="shared" si="304"/>
        <v/>
      </c>
      <c r="AO305" s="288" t="str">
        <f t="shared" si="305"/>
        <v/>
      </c>
      <c r="AP305" s="288" t="str">
        <f t="shared" si="306"/>
        <v/>
      </c>
      <c r="AQ305" s="36">
        <f t="shared" ref="AQ305:AS305" si="371">AQ304</f>
        <v>3.3793103448275866E-2</v>
      </c>
      <c r="AR305" s="36">
        <f t="shared" si="371"/>
        <v>5.9329425287356324E-2</v>
      </c>
      <c r="AS305" s="36">
        <f t="shared" si="371"/>
        <v>8.4865747126436797E-2</v>
      </c>
      <c r="AT305" s="288">
        <f t="shared" si="308"/>
        <v>0.11040206896551726</v>
      </c>
    </row>
    <row r="306" spans="2:46">
      <c r="B306" s="287"/>
      <c r="C306" s="707"/>
      <c r="D306" s="707"/>
      <c r="E306" s="707"/>
      <c r="F306" s="707"/>
      <c r="G306" s="707"/>
      <c r="H306" s="707"/>
      <c r="I306" s="707"/>
      <c r="J306" s="707"/>
      <c r="K306" s="707"/>
      <c r="L306" s="707"/>
      <c r="M306" s="707"/>
      <c r="N306" s="707"/>
      <c r="O306" s="707"/>
      <c r="P306" s="707"/>
      <c r="Q306" s="707"/>
      <c r="R306" s="707"/>
      <c r="S306" s="707"/>
      <c r="T306" s="707"/>
      <c r="U306" s="707"/>
      <c r="V306" s="707"/>
      <c r="W306" s="707"/>
      <c r="X306" s="707"/>
      <c r="Y306" s="707"/>
      <c r="Z306" s="707"/>
      <c r="AA306" s="36" t="str">
        <f t="shared" si="322"/>
        <v/>
      </c>
      <c r="AB306" s="288" t="str">
        <f t="shared" si="294"/>
        <v/>
      </c>
      <c r="AC306" s="288" t="str">
        <f t="shared" si="295"/>
        <v/>
      </c>
      <c r="AD306" s="288" t="str">
        <f t="shared" si="296"/>
        <v/>
      </c>
      <c r="AE306" s="288" t="str">
        <f t="shared" si="297"/>
        <v/>
      </c>
      <c r="AF306" s="288" t="str">
        <f t="shared" si="298"/>
        <v/>
      </c>
      <c r="AG306" s="288" t="str">
        <f t="shared" si="299"/>
        <v/>
      </c>
      <c r="AH306" s="288" t="str">
        <f t="shared" si="300"/>
        <v/>
      </c>
      <c r="AI306" s="36">
        <f t="shared" si="301"/>
        <v>-1</v>
      </c>
      <c r="AJ306" s="36">
        <f t="shared" si="302"/>
        <v>-1</v>
      </c>
      <c r="AK306" s="36">
        <f t="shared" si="303"/>
        <v>-1</v>
      </c>
      <c r="AL306" s="36"/>
      <c r="AM306" s="36" t="str">
        <f t="shared" si="324"/>
        <v/>
      </c>
      <c r="AN306" s="288" t="str">
        <f t="shared" si="304"/>
        <v/>
      </c>
      <c r="AO306" s="288" t="str">
        <f t="shared" si="305"/>
        <v/>
      </c>
      <c r="AP306" s="288" t="str">
        <f t="shared" si="306"/>
        <v/>
      </c>
      <c r="AQ306" s="36">
        <f t="shared" ref="AQ306:AS306" si="372">AQ305</f>
        <v>3.3793103448275866E-2</v>
      </c>
      <c r="AR306" s="36">
        <f t="shared" si="372"/>
        <v>5.9329425287356324E-2</v>
      </c>
      <c r="AS306" s="36">
        <f t="shared" si="372"/>
        <v>8.4865747126436797E-2</v>
      </c>
      <c r="AT306" s="288">
        <f t="shared" si="308"/>
        <v>0.11040206896551726</v>
      </c>
    </row>
    <row r="307" spans="2:46">
      <c r="B307" s="287"/>
      <c r="C307" s="707"/>
      <c r="D307" s="707"/>
      <c r="E307" s="707"/>
      <c r="F307" s="707"/>
      <c r="G307" s="707"/>
      <c r="H307" s="707"/>
      <c r="I307" s="707"/>
      <c r="J307" s="707"/>
      <c r="K307" s="707"/>
      <c r="L307" s="707"/>
      <c r="M307" s="707"/>
      <c r="N307" s="707"/>
      <c r="O307" s="707"/>
      <c r="P307" s="707"/>
      <c r="Q307" s="707"/>
      <c r="R307" s="707"/>
      <c r="S307" s="707"/>
      <c r="T307" s="707"/>
      <c r="U307" s="707"/>
      <c r="V307" s="707"/>
      <c r="W307" s="707"/>
      <c r="X307" s="707"/>
      <c r="Y307" s="707"/>
      <c r="Z307" s="707"/>
      <c r="AA307" s="36" t="str">
        <f t="shared" si="322"/>
        <v/>
      </c>
      <c r="AB307" s="288" t="str">
        <f t="shared" si="294"/>
        <v/>
      </c>
      <c r="AC307" s="288" t="str">
        <f t="shared" si="295"/>
        <v/>
      </c>
      <c r="AD307" s="288" t="str">
        <f t="shared" si="296"/>
        <v/>
      </c>
      <c r="AE307" s="288" t="str">
        <f t="shared" si="297"/>
        <v/>
      </c>
      <c r="AF307" s="288" t="str">
        <f t="shared" si="298"/>
        <v/>
      </c>
      <c r="AG307" s="288" t="str">
        <f t="shared" si="299"/>
        <v/>
      </c>
      <c r="AH307" s="288" t="str">
        <f t="shared" si="300"/>
        <v/>
      </c>
      <c r="AI307" s="36">
        <f t="shared" si="301"/>
        <v>-1</v>
      </c>
      <c r="AJ307" s="36">
        <f t="shared" si="302"/>
        <v>-1</v>
      </c>
      <c r="AK307" s="36">
        <f t="shared" si="303"/>
        <v>-1</v>
      </c>
      <c r="AL307" s="36"/>
      <c r="AM307" s="36" t="str">
        <f t="shared" si="324"/>
        <v/>
      </c>
      <c r="AN307" s="288" t="str">
        <f t="shared" si="304"/>
        <v/>
      </c>
      <c r="AO307" s="288" t="str">
        <f t="shared" si="305"/>
        <v/>
      </c>
      <c r="AP307" s="288" t="str">
        <f t="shared" si="306"/>
        <v/>
      </c>
      <c r="AQ307" s="36">
        <f t="shared" ref="AQ307:AS307" si="373">AQ306</f>
        <v>3.3793103448275866E-2</v>
      </c>
      <c r="AR307" s="36">
        <f t="shared" si="373"/>
        <v>5.9329425287356324E-2</v>
      </c>
      <c r="AS307" s="36">
        <f t="shared" si="373"/>
        <v>8.4865747126436797E-2</v>
      </c>
      <c r="AT307" s="288">
        <f t="shared" si="308"/>
        <v>0.11040206896551726</v>
      </c>
    </row>
    <row r="308" spans="2:46">
      <c r="B308" s="287"/>
      <c r="C308" s="707"/>
      <c r="D308" s="707"/>
      <c r="E308" s="707"/>
      <c r="F308" s="707"/>
      <c r="G308" s="707"/>
      <c r="H308" s="707"/>
      <c r="I308" s="707"/>
      <c r="J308" s="707"/>
      <c r="K308" s="707"/>
      <c r="L308" s="707"/>
      <c r="M308" s="707"/>
      <c r="N308" s="707"/>
      <c r="O308" s="707"/>
      <c r="P308" s="707"/>
      <c r="Q308" s="707"/>
      <c r="R308" s="707"/>
      <c r="S308" s="707"/>
      <c r="T308" s="707"/>
      <c r="U308" s="707"/>
      <c r="V308" s="707"/>
      <c r="W308" s="707"/>
      <c r="X308" s="707"/>
      <c r="Y308" s="707"/>
      <c r="Z308" s="707"/>
      <c r="AA308" s="36" t="str">
        <f t="shared" si="322"/>
        <v/>
      </c>
      <c r="AB308" s="288" t="str">
        <f t="shared" ref="AB308:AB371" si="374">IF(AA308="", "", AE308-(3*STDEV(AA:AA)))</f>
        <v/>
      </c>
      <c r="AC308" s="288" t="str">
        <f t="shared" ref="AC308:AC371" si="375">IF(AA308="", "",AE308-(2*STDEV(AA:AA)))</f>
        <v/>
      </c>
      <c r="AD308" s="288" t="str">
        <f t="shared" ref="AD308:AD371" si="376">IF(AA308="", "", AE308-STDEV(AA:AA))</f>
        <v/>
      </c>
      <c r="AE308" s="288" t="str">
        <f t="shared" ref="AE308:AE371" si="377">IF(AA308="", "", AVERAGE(AA:AA))</f>
        <v/>
      </c>
      <c r="AF308" s="288" t="str">
        <f t="shared" ref="AF308:AF371" si="378">IF(AC308="", "", AE308+STDEV(AA:AA))</f>
        <v/>
      </c>
      <c r="AG308" s="288" t="str">
        <f t="shared" ref="AG308:AG371" si="379">IF(AE308="", "",AE308+(2*STDEV(AA:AA)))</f>
        <v/>
      </c>
      <c r="AH308" s="288" t="str">
        <f t="shared" ref="AH308:AH371" si="380">IF(AG308="", "", AE308+(3*STDEV(AA:AA)))</f>
        <v/>
      </c>
      <c r="AI308" s="36">
        <f t="shared" ref="AI308:AI371" si="381">IF(OR(AA308&gt;AH308,AA308&lt;AB308),AA308,-1)</f>
        <v>-1</v>
      </c>
      <c r="AJ308" s="36">
        <f t="shared" ref="AJ308:AJ371" si="382">IF(IF(AA307&gt;AG307,1,0)+IF(AA308&gt;AG308,1,0)+IF(AA309&gt;AG309,1,0)+IF(AA307&lt;AC307,1,0)+IF(AA308&lt;AC308,1,0)+IF(AA309&lt;AC309,1,0)&gt;=2,AA308,-1)</f>
        <v>-1</v>
      </c>
      <c r="AK308" s="36">
        <f t="shared" ref="AK308:AK371" si="383">IF(IF(AA306&lt;AD306,1,0)+IF(AA308&lt;AD308,1,0)+IF(AA309&lt;AD309,1,0)+IF(AA310&lt;AD310,1,0)+IF(AA307&lt;AD307,1,0)+IF(AA306&gt;AF306,1,0)+IF(AA307&gt;AF307,1,0)+IF(AA308&gt;AF308,1,0)+IF(AA309&gt;AF309,1,0)+IF(AA310&gt;AF310,1,0)&gt;4,AA308,-1)</f>
        <v>-1</v>
      </c>
      <c r="AL308" s="36"/>
      <c r="AM308" s="36" t="str">
        <f t="shared" si="324"/>
        <v/>
      </c>
      <c r="AN308" s="288" t="str">
        <f t="shared" ref="AN308:AN371" si="384">IF(AM308="", "", AQ308-(3*STDEV(AM:AM)))</f>
        <v/>
      </c>
      <c r="AO308" s="288" t="str">
        <f t="shared" ref="AO308:AO371" si="385">IF(AM308="", "", IF($AQ308-(2*(($AT308-$AQ308)/3))&lt;0, 0, $AQ308-(2*(($AT308-$AQ308)/3))))</f>
        <v/>
      </c>
      <c r="AP308" s="288" t="str">
        <f t="shared" ref="AP308:AP371" si="386">IF(AM308="", "", IF($AQ308-(($AT308-$AQ308)/3)&lt;0, 0, $AQ307-(($AT307-$AQ307)/3)))</f>
        <v/>
      </c>
      <c r="AQ308" s="36">
        <f t="shared" ref="AQ308:AS308" si="387">AQ307</f>
        <v>3.3793103448275866E-2</v>
      </c>
      <c r="AR308" s="36">
        <f t="shared" si="387"/>
        <v>5.9329425287356324E-2</v>
      </c>
      <c r="AS308" s="36">
        <f t="shared" si="387"/>
        <v>8.4865747126436797E-2</v>
      </c>
      <c r="AT308" s="288">
        <f t="shared" ref="AT308:AT371" si="388">$BM$3*AQ308</f>
        <v>0.11040206896551726</v>
      </c>
    </row>
    <row r="309" spans="2:46">
      <c r="B309" s="287"/>
      <c r="C309" s="707"/>
      <c r="D309" s="707"/>
      <c r="E309" s="707"/>
      <c r="F309" s="707"/>
      <c r="G309" s="707"/>
      <c r="H309" s="707"/>
      <c r="I309" s="707"/>
      <c r="J309" s="707"/>
      <c r="K309" s="707"/>
      <c r="L309" s="707"/>
      <c r="M309" s="707"/>
      <c r="N309" s="707"/>
      <c r="O309" s="707"/>
      <c r="P309" s="707"/>
      <c r="Q309" s="707"/>
      <c r="R309" s="707"/>
      <c r="S309" s="707"/>
      <c r="T309" s="707"/>
      <c r="U309" s="707"/>
      <c r="V309" s="707"/>
      <c r="W309" s="707"/>
      <c r="X309" s="707"/>
      <c r="Y309" s="707"/>
      <c r="Z309" s="707"/>
      <c r="AA309" s="36" t="str">
        <f t="shared" si="322"/>
        <v/>
      </c>
      <c r="AB309" s="288" t="str">
        <f t="shared" si="374"/>
        <v/>
      </c>
      <c r="AC309" s="288" t="str">
        <f t="shared" si="375"/>
        <v/>
      </c>
      <c r="AD309" s="288" t="str">
        <f t="shared" si="376"/>
        <v/>
      </c>
      <c r="AE309" s="288" t="str">
        <f t="shared" si="377"/>
        <v/>
      </c>
      <c r="AF309" s="288" t="str">
        <f t="shared" si="378"/>
        <v/>
      </c>
      <c r="AG309" s="288" t="str">
        <f t="shared" si="379"/>
        <v/>
      </c>
      <c r="AH309" s="288" t="str">
        <f t="shared" si="380"/>
        <v/>
      </c>
      <c r="AI309" s="36">
        <f t="shared" si="381"/>
        <v>-1</v>
      </c>
      <c r="AJ309" s="36">
        <f t="shared" si="382"/>
        <v>-1</v>
      </c>
      <c r="AK309" s="36">
        <f t="shared" si="383"/>
        <v>-1</v>
      </c>
      <c r="AL309" s="36"/>
      <c r="AM309" s="36" t="str">
        <f t="shared" si="324"/>
        <v/>
      </c>
      <c r="AN309" s="288" t="str">
        <f t="shared" si="384"/>
        <v/>
      </c>
      <c r="AO309" s="288" t="str">
        <f t="shared" si="385"/>
        <v/>
      </c>
      <c r="AP309" s="288" t="str">
        <f t="shared" si="386"/>
        <v/>
      </c>
      <c r="AQ309" s="36">
        <f t="shared" ref="AQ309:AS309" si="389">AQ308</f>
        <v>3.3793103448275866E-2</v>
      </c>
      <c r="AR309" s="36">
        <f t="shared" si="389"/>
        <v>5.9329425287356324E-2</v>
      </c>
      <c r="AS309" s="36">
        <f t="shared" si="389"/>
        <v>8.4865747126436797E-2</v>
      </c>
      <c r="AT309" s="288">
        <f t="shared" si="388"/>
        <v>0.11040206896551726</v>
      </c>
    </row>
    <row r="310" spans="2:46">
      <c r="B310" s="287"/>
      <c r="C310" s="707"/>
      <c r="D310" s="707"/>
      <c r="E310" s="707"/>
      <c r="F310" s="707"/>
      <c r="G310" s="707"/>
      <c r="H310" s="707"/>
      <c r="I310" s="707"/>
      <c r="J310" s="707"/>
      <c r="K310" s="707"/>
      <c r="L310" s="707"/>
      <c r="M310" s="707"/>
      <c r="N310" s="707"/>
      <c r="O310" s="707"/>
      <c r="P310" s="707"/>
      <c r="Q310" s="707"/>
      <c r="R310" s="707"/>
      <c r="S310" s="707"/>
      <c r="T310" s="707"/>
      <c r="U310" s="707"/>
      <c r="V310" s="707"/>
      <c r="W310" s="707"/>
      <c r="X310" s="707"/>
      <c r="Y310" s="707"/>
      <c r="Z310" s="707"/>
      <c r="AA310" s="36" t="str">
        <f t="shared" si="322"/>
        <v/>
      </c>
      <c r="AB310" s="288" t="str">
        <f t="shared" si="374"/>
        <v/>
      </c>
      <c r="AC310" s="288" t="str">
        <f t="shared" si="375"/>
        <v/>
      </c>
      <c r="AD310" s="288" t="str">
        <f t="shared" si="376"/>
        <v/>
      </c>
      <c r="AE310" s="288" t="str">
        <f t="shared" si="377"/>
        <v/>
      </c>
      <c r="AF310" s="288" t="str">
        <f t="shared" si="378"/>
        <v/>
      </c>
      <c r="AG310" s="288" t="str">
        <f t="shared" si="379"/>
        <v/>
      </c>
      <c r="AH310" s="288" t="str">
        <f t="shared" si="380"/>
        <v/>
      </c>
      <c r="AI310" s="36">
        <f t="shared" si="381"/>
        <v>-1</v>
      </c>
      <c r="AJ310" s="36">
        <f t="shared" si="382"/>
        <v>-1</v>
      </c>
      <c r="AK310" s="36">
        <f t="shared" si="383"/>
        <v>-1</v>
      </c>
      <c r="AL310" s="36"/>
      <c r="AM310" s="36" t="str">
        <f t="shared" si="324"/>
        <v/>
      </c>
      <c r="AN310" s="288" t="str">
        <f t="shared" si="384"/>
        <v/>
      </c>
      <c r="AO310" s="288" t="str">
        <f t="shared" si="385"/>
        <v/>
      </c>
      <c r="AP310" s="288" t="str">
        <f t="shared" si="386"/>
        <v/>
      </c>
      <c r="AQ310" s="36">
        <f t="shared" ref="AQ310:AS310" si="390">AQ309</f>
        <v>3.3793103448275866E-2</v>
      </c>
      <c r="AR310" s="36">
        <f t="shared" si="390"/>
        <v>5.9329425287356324E-2</v>
      </c>
      <c r="AS310" s="36">
        <f t="shared" si="390"/>
        <v>8.4865747126436797E-2</v>
      </c>
      <c r="AT310" s="288">
        <f t="shared" si="388"/>
        <v>0.11040206896551726</v>
      </c>
    </row>
    <row r="311" spans="2:46">
      <c r="B311" s="287"/>
      <c r="C311" s="707"/>
      <c r="D311" s="707"/>
      <c r="E311" s="707"/>
      <c r="F311" s="707"/>
      <c r="G311" s="707"/>
      <c r="H311" s="707"/>
      <c r="I311" s="707"/>
      <c r="J311" s="707"/>
      <c r="K311" s="707"/>
      <c r="L311" s="707"/>
      <c r="M311" s="707"/>
      <c r="N311" s="707"/>
      <c r="O311" s="707"/>
      <c r="P311" s="707"/>
      <c r="Q311" s="707"/>
      <c r="R311" s="707"/>
      <c r="S311" s="707"/>
      <c r="T311" s="707"/>
      <c r="U311" s="707"/>
      <c r="V311" s="707"/>
      <c r="W311" s="707"/>
      <c r="X311" s="707"/>
      <c r="Y311" s="707"/>
      <c r="Z311" s="707"/>
      <c r="AA311" s="36" t="str">
        <f t="shared" si="322"/>
        <v/>
      </c>
      <c r="AB311" s="288" t="str">
        <f t="shared" si="374"/>
        <v/>
      </c>
      <c r="AC311" s="288" t="str">
        <f t="shared" si="375"/>
        <v/>
      </c>
      <c r="AD311" s="288" t="str">
        <f t="shared" si="376"/>
        <v/>
      </c>
      <c r="AE311" s="288" t="str">
        <f t="shared" si="377"/>
        <v/>
      </c>
      <c r="AF311" s="288" t="str">
        <f t="shared" si="378"/>
        <v/>
      </c>
      <c r="AG311" s="288" t="str">
        <f t="shared" si="379"/>
        <v/>
      </c>
      <c r="AH311" s="288" t="str">
        <f t="shared" si="380"/>
        <v/>
      </c>
      <c r="AI311" s="36">
        <f t="shared" si="381"/>
        <v>-1</v>
      </c>
      <c r="AJ311" s="36">
        <f t="shared" si="382"/>
        <v>-1</v>
      </c>
      <c r="AK311" s="36">
        <f t="shared" si="383"/>
        <v>-1</v>
      </c>
      <c r="AL311" s="36"/>
      <c r="AM311" s="36" t="str">
        <f t="shared" si="324"/>
        <v/>
      </c>
      <c r="AN311" s="288" t="str">
        <f t="shared" si="384"/>
        <v/>
      </c>
      <c r="AO311" s="288" t="str">
        <f t="shared" si="385"/>
        <v/>
      </c>
      <c r="AP311" s="288" t="str">
        <f t="shared" si="386"/>
        <v/>
      </c>
      <c r="AQ311" s="36">
        <f t="shared" ref="AQ311:AS311" si="391">AQ310</f>
        <v>3.3793103448275866E-2</v>
      </c>
      <c r="AR311" s="36">
        <f t="shared" si="391"/>
        <v>5.9329425287356324E-2</v>
      </c>
      <c r="AS311" s="36">
        <f t="shared" si="391"/>
        <v>8.4865747126436797E-2</v>
      </c>
      <c r="AT311" s="288">
        <f t="shared" si="388"/>
        <v>0.11040206896551726</v>
      </c>
    </row>
    <row r="312" spans="2:46">
      <c r="B312" s="287"/>
      <c r="C312" s="707"/>
      <c r="D312" s="707"/>
      <c r="E312" s="707"/>
      <c r="F312" s="707"/>
      <c r="G312" s="707"/>
      <c r="H312" s="707"/>
      <c r="I312" s="707"/>
      <c r="J312" s="707"/>
      <c r="K312" s="707"/>
      <c r="L312" s="707"/>
      <c r="M312" s="707"/>
      <c r="N312" s="707"/>
      <c r="O312" s="707"/>
      <c r="P312" s="707"/>
      <c r="Q312" s="707"/>
      <c r="R312" s="707"/>
      <c r="S312" s="707"/>
      <c r="T312" s="707"/>
      <c r="U312" s="707"/>
      <c r="V312" s="707"/>
      <c r="W312" s="707"/>
      <c r="X312" s="707"/>
      <c r="Y312" s="707"/>
      <c r="Z312" s="707"/>
      <c r="AA312" s="36" t="str">
        <f t="shared" si="322"/>
        <v/>
      </c>
      <c r="AB312" s="288" t="str">
        <f t="shared" si="374"/>
        <v/>
      </c>
      <c r="AC312" s="288" t="str">
        <f t="shared" si="375"/>
        <v/>
      </c>
      <c r="AD312" s="288" t="str">
        <f t="shared" si="376"/>
        <v/>
      </c>
      <c r="AE312" s="288" t="str">
        <f t="shared" si="377"/>
        <v/>
      </c>
      <c r="AF312" s="288" t="str">
        <f t="shared" si="378"/>
        <v/>
      </c>
      <c r="AG312" s="288" t="str">
        <f t="shared" si="379"/>
        <v/>
      </c>
      <c r="AH312" s="288" t="str">
        <f t="shared" si="380"/>
        <v/>
      </c>
      <c r="AI312" s="36">
        <f t="shared" si="381"/>
        <v>-1</v>
      </c>
      <c r="AJ312" s="36">
        <f t="shared" si="382"/>
        <v>-1</v>
      </c>
      <c r="AK312" s="36">
        <f t="shared" si="383"/>
        <v>-1</v>
      </c>
      <c r="AL312" s="36"/>
      <c r="AM312" s="36" t="str">
        <f t="shared" si="324"/>
        <v/>
      </c>
      <c r="AN312" s="288" t="str">
        <f t="shared" si="384"/>
        <v/>
      </c>
      <c r="AO312" s="288" t="str">
        <f t="shared" si="385"/>
        <v/>
      </c>
      <c r="AP312" s="288" t="str">
        <f t="shared" si="386"/>
        <v/>
      </c>
      <c r="AQ312" s="36">
        <f t="shared" ref="AQ312:AS312" si="392">AQ311</f>
        <v>3.3793103448275866E-2</v>
      </c>
      <c r="AR312" s="36">
        <f t="shared" si="392"/>
        <v>5.9329425287356324E-2</v>
      </c>
      <c r="AS312" s="36">
        <f t="shared" si="392"/>
        <v>8.4865747126436797E-2</v>
      </c>
      <c r="AT312" s="288">
        <f t="shared" si="388"/>
        <v>0.11040206896551726</v>
      </c>
    </row>
    <row r="313" spans="2:46">
      <c r="B313" s="287"/>
      <c r="C313" s="707"/>
      <c r="D313" s="707"/>
      <c r="E313" s="707"/>
      <c r="F313" s="707"/>
      <c r="G313" s="707"/>
      <c r="H313" s="707"/>
      <c r="I313" s="707"/>
      <c r="J313" s="707"/>
      <c r="K313" s="707"/>
      <c r="L313" s="707"/>
      <c r="M313" s="707"/>
      <c r="N313" s="707"/>
      <c r="O313" s="707"/>
      <c r="P313" s="707"/>
      <c r="Q313" s="707"/>
      <c r="R313" s="707"/>
      <c r="S313" s="707"/>
      <c r="T313" s="707"/>
      <c r="U313" s="707"/>
      <c r="V313" s="707"/>
      <c r="W313" s="707"/>
      <c r="X313" s="707"/>
      <c r="Y313" s="707"/>
      <c r="Z313" s="707"/>
      <c r="AA313" s="36" t="str">
        <f t="shared" si="322"/>
        <v/>
      </c>
      <c r="AB313" s="288" t="str">
        <f t="shared" si="374"/>
        <v/>
      </c>
      <c r="AC313" s="288" t="str">
        <f t="shared" si="375"/>
        <v/>
      </c>
      <c r="AD313" s="288" t="str">
        <f t="shared" si="376"/>
        <v/>
      </c>
      <c r="AE313" s="288" t="str">
        <f t="shared" si="377"/>
        <v/>
      </c>
      <c r="AF313" s="288" t="str">
        <f t="shared" si="378"/>
        <v/>
      </c>
      <c r="AG313" s="288" t="str">
        <f t="shared" si="379"/>
        <v/>
      </c>
      <c r="AH313" s="288" t="str">
        <f t="shared" si="380"/>
        <v/>
      </c>
      <c r="AI313" s="36">
        <f t="shared" si="381"/>
        <v>-1</v>
      </c>
      <c r="AJ313" s="36">
        <f t="shared" si="382"/>
        <v>-1</v>
      </c>
      <c r="AK313" s="36">
        <f t="shared" si="383"/>
        <v>-1</v>
      </c>
      <c r="AL313" s="36"/>
      <c r="AM313" s="36" t="str">
        <f t="shared" si="324"/>
        <v/>
      </c>
      <c r="AN313" s="288" t="str">
        <f t="shared" si="384"/>
        <v/>
      </c>
      <c r="AO313" s="288" t="str">
        <f t="shared" si="385"/>
        <v/>
      </c>
      <c r="AP313" s="288" t="str">
        <f t="shared" si="386"/>
        <v/>
      </c>
      <c r="AQ313" s="36">
        <f t="shared" ref="AQ313:AS313" si="393">AQ312</f>
        <v>3.3793103448275866E-2</v>
      </c>
      <c r="AR313" s="36">
        <f t="shared" si="393"/>
        <v>5.9329425287356324E-2</v>
      </c>
      <c r="AS313" s="36">
        <f t="shared" si="393"/>
        <v>8.4865747126436797E-2</v>
      </c>
      <c r="AT313" s="288">
        <f t="shared" si="388"/>
        <v>0.11040206896551726</v>
      </c>
    </row>
    <row r="314" spans="2:46">
      <c r="B314" s="287"/>
      <c r="C314" s="707"/>
      <c r="D314" s="707"/>
      <c r="E314" s="707"/>
      <c r="F314" s="707"/>
      <c r="G314" s="707"/>
      <c r="H314" s="707"/>
      <c r="I314" s="707"/>
      <c r="J314" s="707"/>
      <c r="K314" s="707"/>
      <c r="L314" s="707"/>
      <c r="M314" s="707"/>
      <c r="N314" s="707"/>
      <c r="O314" s="707"/>
      <c r="P314" s="707"/>
      <c r="Q314" s="707"/>
      <c r="R314" s="707"/>
      <c r="S314" s="707"/>
      <c r="T314" s="707"/>
      <c r="U314" s="707"/>
      <c r="V314" s="707"/>
      <c r="W314" s="707"/>
      <c r="X314" s="707"/>
      <c r="Y314" s="707"/>
      <c r="Z314" s="707"/>
      <c r="AA314" s="36" t="str">
        <f t="shared" si="322"/>
        <v/>
      </c>
      <c r="AB314" s="288" t="str">
        <f t="shared" si="374"/>
        <v/>
      </c>
      <c r="AC314" s="288" t="str">
        <f t="shared" si="375"/>
        <v/>
      </c>
      <c r="AD314" s="288" t="str">
        <f t="shared" si="376"/>
        <v/>
      </c>
      <c r="AE314" s="288" t="str">
        <f t="shared" si="377"/>
        <v/>
      </c>
      <c r="AF314" s="288" t="str">
        <f t="shared" si="378"/>
        <v/>
      </c>
      <c r="AG314" s="288" t="str">
        <f t="shared" si="379"/>
        <v/>
      </c>
      <c r="AH314" s="288" t="str">
        <f t="shared" si="380"/>
        <v/>
      </c>
      <c r="AI314" s="36">
        <f t="shared" si="381"/>
        <v>-1</v>
      </c>
      <c r="AJ314" s="36">
        <f t="shared" si="382"/>
        <v>-1</v>
      </c>
      <c r="AK314" s="36">
        <f t="shared" si="383"/>
        <v>-1</v>
      </c>
      <c r="AL314" s="36"/>
      <c r="AM314" s="36" t="str">
        <f t="shared" si="324"/>
        <v/>
      </c>
      <c r="AN314" s="288" t="str">
        <f t="shared" si="384"/>
        <v/>
      </c>
      <c r="AO314" s="288" t="str">
        <f t="shared" si="385"/>
        <v/>
      </c>
      <c r="AP314" s="288" t="str">
        <f t="shared" si="386"/>
        <v/>
      </c>
      <c r="AQ314" s="36">
        <f t="shared" ref="AQ314:AS314" si="394">AQ313</f>
        <v>3.3793103448275866E-2</v>
      </c>
      <c r="AR314" s="36">
        <f t="shared" si="394"/>
        <v>5.9329425287356324E-2</v>
      </c>
      <c r="AS314" s="36">
        <f t="shared" si="394"/>
        <v>8.4865747126436797E-2</v>
      </c>
      <c r="AT314" s="288">
        <f t="shared" si="388"/>
        <v>0.11040206896551726</v>
      </c>
    </row>
    <row r="315" spans="2:46">
      <c r="B315" s="287"/>
      <c r="C315" s="707"/>
      <c r="D315" s="707"/>
      <c r="E315" s="707"/>
      <c r="F315" s="707"/>
      <c r="G315" s="707"/>
      <c r="H315" s="707"/>
      <c r="I315" s="707"/>
      <c r="J315" s="707"/>
      <c r="K315" s="707"/>
      <c r="L315" s="707"/>
      <c r="M315" s="707"/>
      <c r="N315" s="707"/>
      <c r="O315" s="707"/>
      <c r="P315" s="707"/>
      <c r="Q315" s="707"/>
      <c r="R315" s="707"/>
      <c r="S315" s="707"/>
      <c r="T315" s="707"/>
      <c r="U315" s="707"/>
      <c r="V315" s="707"/>
      <c r="W315" s="707"/>
      <c r="X315" s="707"/>
      <c r="Y315" s="707"/>
      <c r="Z315" s="707"/>
      <c r="AA315" s="36" t="str">
        <f t="shared" si="322"/>
        <v/>
      </c>
      <c r="AB315" s="288" t="str">
        <f t="shared" si="374"/>
        <v/>
      </c>
      <c r="AC315" s="288" t="str">
        <f t="shared" si="375"/>
        <v/>
      </c>
      <c r="AD315" s="288" t="str">
        <f t="shared" si="376"/>
        <v/>
      </c>
      <c r="AE315" s="288" t="str">
        <f t="shared" si="377"/>
        <v/>
      </c>
      <c r="AF315" s="288" t="str">
        <f t="shared" si="378"/>
        <v/>
      </c>
      <c r="AG315" s="288" t="str">
        <f t="shared" si="379"/>
        <v/>
      </c>
      <c r="AH315" s="288" t="str">
        <f t="shared" si="380"/>
        <v/>
      </c>
      <c r="AI315" s="36">
        <f t="shared" si="381"/>
        <v>-1</v>
      </c>
      <c r="AJ315" s="36">
        <f t="shared" si="382"/>
        <v>-1</v>
      </c>
      <c r="AK315" s="36">
        <f t="shared" si="383"/>
        <v>-1</v>
      </c>
      <c r="AL315" s="36"/>
      <c r="AM315" s="36" t="str">
        <f t="shared" si="324"/>
        <v/>
      </c>
      <c r="AN315" s="288" t="str">
        <f t="shared" si="384"/>
        <v/>
      </c>
      <c r="AO315" s="288" t="str">
        <f t="shared" si="385"/>
        <v/>
      </c>
      <c r="AP315" s="288" t="str">
        <f t="shared" si="386"/>
        <v/>
      </c>
      <c r="AQ315" s="36">
        <f t="shared" ref="AQ315:AS315" si="395">AQ314</f>
        <v>3.3793103448275866E-2</v>
      </c>
      <c r="AR315" s="36">
        <f t="shared" si="395"/>
        <v>5.9329425287356324E-2</v>
      </c>
      <c r="AS315" s="36">
        <f t="shared" si="395"/>
        <v>8.4865747126436797E-2</v>
      </c>
      <c r="AT315" s="288">
        <f t="shared" si="388"/>
        <v>0.11040206896551726</v>
      </c>
    </row>
    <row r="316" spans="2:46">
      <c r="B316" s="287"/>
      <c r="C316" s="707"/>
      <c r="D316" s="707"/>
      <c r="E316" s="707"/>
      <c r="F316" s="707"/>
      <c r="G316" s="707"/>
      <c r="H316" s="707"/>
      <c r="I316" s="707"/>
      <c r="J316" s="707"/>
      <c r="K316" s="707"/>
      <c r="L316" s="707"/>
      <c r="M316" s="707"/>
      <c r="N316" s="707"/>
      <c r="O316" s="707"/>
      <c r="P316" s="707"/>
      <c r="Q316" s="707"/>
      <c r="R316" s="707"/>
      <c r="S316" s="707"/>
      <c r="T316" s="707"/>
      <c r="U316" s="707"/>
      <c r="V316" s="707"/>
      <c r="W316" s="707"/>
      <c r="X316" s="707"/>
      <c r="Y316" s="707"/>
      <c r="Z316" s="707"/>
      <c r="AA316" s="36" t="str">
        <f t="shared" si="322"/>
        <v/>
      </c>
      <c r="AB316" s="288" t="str">
        <f t="shared" si="374"/>
        <v/>
      </c>
      <c r="AC316" s="288" t="str">
        <f t="shared" si="375"/>
        <v/>
      </c>
      <c r="AD316" s="288" t="str">
        <f t="shared" si="376"/>
        <v/>
      </c>
      <c r="AE316" s="288" t="str">
        <f t="shared" si="377"/>
        <v/>
      </c>
      <c r="AF316" s="288" t="str">
        <f t="shared" si="378"/>
        <v/>
      </c>
      <c r="AG316" s="288" t="str">
        <f t="shared" si="379"/>
        <v/>
      </c>
      <c r="AH316" s="288" t="str">
        <f t="shared" si="380"/>
        <v/>
      </c>
      <c r="AI316" s="36">
        <f t="shared" si="381"/>
        <v>-1</v>
      </c>
      <c r="AJ316" s="36">
        <f t="shared" si="382"/>
        <v>-1</v>
      </c>
      <c r="AK316" s="36">
        <f t="shared" si="383"/>
        <v>-1</v>
      </c>
      <c r="AL316" s="36"/>
      <c r="AM316" s="36" t="str">
        <f t="shared" si="324"/>
        <v/>
      </c>
      <c r="AN316" s="288" t="str">
        <f t="shared" si="384"/>
        <v/>
      </c>
      <c r="AO316" s="288" t="str">
        <f t="shared" si="385"/>
        <v/>
      </c>
      <c r="AP316" s="288" t="str">
        <f t="shared" si="386"/>
        <v/>
      </c>
      <c r="AQ316" s="36">
        <f t="shared" ref="AQ316:AS316" si="396">AQ315</f>
        <v>3.3793103448275866E-2</v>
      </c>
      <c r="AR316" s="36">
        <f t="shared" si="396"/>
        <v>5.9329425287356324E-2</v>
      </c>
      <c r="AS316" s="36">
        <f t="shared" si="396"/>
        <v>8.4865747126436797E-2</v>
      </c>
      <c r="AT316" s="288">
        <f t="shared" si="388"/>
        <v>0.11040206896551726</v>
      </c>
    </row>
    <row r="317" spans="2:46">
      <c r="B317" s="287"/>
      <c r="C317" s="707"/>
      <c r="D317" s="707"/>
      <c r="E317" s="707"/>
      <c r="F317" s="707"/>
      <c r="G317" s="707"/>
      <c r="H317" s="707"/>
      <c r="I317" s="707"/>
      <c r="J317" s="707"/>
      <c r="K317" s="707"/>
      <c r="L317" s="707"/>
      <c r="M317" s="707"/>
      <c r="N317" s="707"/>
      <c r="O317" s="707"/>
      <c r="P317" s="707"/>
      <c r="Q317" s="707"/>
      <c r="R317" s="707"/>
      <c r="S317" s="707"/>
      <c r="T317" s="707"/>
      <c r="U317" s="707"/>
      <c r="V317" s="707"/>
      <c r="W317" s="707"/>
      <c r="X317" s="707"/>
      <c r="Y317" s="707"/>
      <c r="Z317" s="707"/>
      <c r="AA317" s="36" t="str">
        <f t="shared" si="322"/>
        <v/>
      </c>
      <c r="AB317" s="288" t="str">
        <f t="shared" si="374"/>
        <v/>
      </c>
      <c r="AC317" s="288" t="str">
        <f t="shared" si="375"/>
        <v/>
      </c>
      <c r="AD317" s="288" t="str">
        <f t="shared" si="376"/>
        <v/>
      </c>
      <c r="AE317" s="288" t="str">
        <f t="shared" si="377"/>
        <v/>
      </c>
      <c r="AF317" s="288" t="str">
        <f t="shared" si="378"/>
        <v/>
      </c>
      <c r="AG317" s="288" t="str">
        <f t="shared" si="379"/>
        <v/>
      </c>
      <c r="AH317" s="288" t="str">
        <f t="shared" si="380"/>
        <v/>
      </c>
      <c r="AI317" s="36">
        <f t="shared" si="381"/>
        <v>-1</v>
      </c>
      <c r="AJ317" s="36">
        <f t="shared" si="382"/>
        <v>-1</v>
      </c>
      <c r="AK317" s="36">
        <f t="shared" si="383"/>
        <v>-1</v>
      </c>
      <c r="AL317" s="36"/>
      <c r="AM317" s="36" t="str">
        <f t="shared" si="324"/>
        <v/>
      </c>
      <c r="AN317" s="288" t="str">
        <f t="shared" si="384"/>
        <v/>
      </c>
      <c r="AO317" s="288" t="str">
        <f t="shared" si="385"/>
        <v/>
      </c>
      <c r="AP317" s="288" t="str">
        <f t="shared" si="386"/>
        <v/>
      </c>
      <c r="AQ317" s="36">
        <f t="shared" ref="AQ317:AS317" si="397">AQ316</f>
        <v>3.3793103448275866E-2</v>
      </c>
      <c r="AR317" s="36">
        <f t="shared" si="397"/>
        <v>5.9329425287356324E-2</v>
      </c>
      <c r="AS317" s="36">
        <f t="shared" si="397"/>
        <v>8.4865747126436797E-2</v>
      </c>
      <c r="AT317" s="288">
        <f t="shared" si="388"/>
        <v>0.11040206896551726</v>
      </c>
    </row>
    <row r="318" spans="2:46">
      <c r="B318" s="287"/>
      <c r="C318" s="707"/>
      <c r="D318" s="707"/>
      <c r="E318" s="707"/>
      <c r="F318" s="707"/>
      <c r="G318" s="707"/>
      <c r="H318" s="707"/>
      <c r="I318" s="707"/>
      <c r="J318" s="707"/>
      <c r="K318" s="707"/>
      <c r="L318" s="707"/>
      <c r="M318" s="707"/>
      <c r="N318" s="707"/>
      <c r="O318" s="707"/>
      <c r="P318" s="707"/>
      <c r="Q318" s="707"/>
      <c r="R318" s="707"/>
      <c r="S318" s="707"/>
      <c r="T318" s="707"/>
      <c r="U318" s="707"/>
      <c r="V318" s="707"/>
      <c r="W318" s="707"/>
      <c r="X318" s="707"/>
      <c r="Y318" s="707"/>
      <c r="Z318" s="707"/>
      <c r="AA318" s="36" t="str">
        <f t="shared" si="322"/>
        <v/>
      </c>
      <c r="AB318" s="288" t="str">
        <f t="shared" si="374"/>
        <v/>
      </c>
      <c r="AC318" s="288" t="str">
        <f t="shared" si="375"/>
        <v/>
      </c>
      <c r="AD318" s="288" t="str">
        <f t="shared" si="376"/>
        <v/>
      </c>
      <c r="AE318" s="288" t="str">
        <f t="shared" si="377"/>
        <v/>
      </c>
      <c r="AF318" s="288" t="str">
        <f t="shared" si="378"/>
        <v/>
      </c>
      <c r="AG318" s="288" t="str">
        <f t="shared" si="379"/>
        <v/>
      </c>
      <c r="AH318" s="288" t="str">
        <f t="shared" si="380"/>
        <v/>
      </c>
      <c r="AI318" s="36">
        <f t="shared" si="381"/>
        <v>-1</v>
      </c>
      <c r="AJ318" s="36">
        <f t="shared" si="382"/>
        <v>-1</v>
      </c>
      <c r="AK318" s="36">
        <f t="shared" si="383"/>
        <v>-1</v>
      </c>
      <c r="AL318" s="36"/>
      <c r="AM318" s="36" t="str">
        <f t="shared" si="324"/>
        <v/>
      </c>
      <c r="AN318" s="288" t="str">
        <f t="shared" si="384"/>
        <v/>
      </c>
      <c r="AO318" s="288" t="str">
        <f t="shared" si="385"/>
        <v/>
      </c>
      <c r="AP318" s="288" t="str">
        <f t="shared" si="386"/>
        <v/>
      </c>
      <c r="AQ318" s="36">
        <f t="shared" ref="AQ318:AS318" si="398">AQ317</f>
        <v>3.3793103448275866E-2</v>
      </c>
      <c r="AR318" s="36">
        <f t="shared" si="398"/>
        <v>5.9329425287356324E-2</v>
      </c>
      <c r="AS318" s="36">
        <f t="shared" si="398"/>
        <v>8.4865747126436797E-2</v>
      </c>
      <c r="AT318" s="288">
        <f t="shared" si="388"/>
        <v>0.11040206896551726</v>
      </c>
    </row>
    <row r="319" spans="2:46">
      <c r="B319" s="287"/>
      <c r="C319" s="707"/>
      <c r="D319" s="707"/>
      <c r="E319" s="707"/>
      <c r="F319" s="707"/>
      <c r="G319" s="707"/>
      <c r="H319" s="707"/>
      <c r="I319" s="707"/>
      <c r="J319" s="707"/>
      <c r="K319" s="707"/>
      <c r="L319" s="707"/>
      <c r="M319" s="707"/>
      <c r="N319" s="707"/>
      <c r="O319" s="707"/>
      <c r="P319" s="707"/>
      <c r="Q319" s="707"/>
      <c r="R319" s="707"/>
      <c r="S319" s="707"/>
      <c r="T319" s="707"/>
      <c r="U319" s="707"/>
      <c r="V319" s="707"/>
      <c r="W319" s="707"/>
      <c r="X319" s="707"/>
      <c r="Y319" s="707"/>
      <c r="Z319" s="707"/>
      <c r="AA319" s="36" t="str">
        <f t="shared" si="322"/>
        <v/>
      </c>
      <c r="AB319" s="288" t="str">
        <f t="shared" si="374"/>
        <v/>
      </c>
      <c r="AC319" s="288" t="str">
        <f t="shared" si="375"/>
        <v/>
      </c>
      <c r="AD319" s="288" t="str">
        <f t="shared" si="376"/>
        <v/>
      </c>
      <c r="AE319" s="288" t="str">
        <f t="shared" si="377"/>
        <v/>
      </c>
      <c r="AF319" s="288" t="str">
        <f t="shared" si="378"/>
        <v/>
      </c>
      <c r="AG319" s="288" t="str">
        <f t="shared" si="379"/>
        <v/>
      </c>
      <c r="AH319" s="288" t="str">
        <f t="shared" si="380"/>
        <v/>
      </c>
      <c r="AI319" s="36">
        <f t="shared" si="381"/>
        <v>-1</v>
      </c>
      <c r="AJ319" s="36">
        <f t="shared" si="382"/>
        <v>-1</v>
      </c>
      <c r="AK319" s="36">
        <f t="shared" si="383"/>
        <v>-1</v>
      </c>
      <c r="AL319" s="36"/>
      <c r="AM319" s="36" t="str">
        <f t="shared" si="324"/>
        <v/>
      </c>
      <c r="AN319" s="288" t="str">
        <f t="shared" si="384"/>
        <v/>
      </c>
      <c r="AO319" s="288" t="str">
        <f t="shared" si="385"/>
        <v/>
      </c>
      <c r="AP319" s="288" t="str">
        <f t="shared" si="386"/>
        <v/>
      </c>
      <c r="AQ319" s="36">
        <f t="shared" ref="AQ319:AS319" si="399">AQ318</f>
        <v>3.3793103448275866E-2</v>
      </c>
      <c r="AR319" s="36">
        <f t="shared" si="399"/>
        <v>5.9329425287356324E-2</v>
      </c>
      <c r="AS319" s="36">
        <f t="shared" si="399"/>
        <v>8.4865747126436797E-2</v>
      </c>
      <c r="AT319" s="288">
        <f t="shared" si="388"/>
        <v>0.11040206896551726</v>
      </c>
    </row>
    <row r="320" spans="2:46">
      <c r="B320" s="287"/>
      <c r="C320" s="707"/>
      <c r="D320" s="707"/>
      <c r="E320" s="707"/>
      <c r="F320" s="707"/>
      <c r="G320" s="707"/>
      <c r="H320" s="707"/>
      <c r="I320" s="707"/>
      <c r="J320" s="707"/>
      <c r="K320" s="707"/>
      <c r="L320" s="707"/>
      <c r="M320" s="707"/>
      <c r="N320" s="707"/>
      <c r="O320" s="707"/>
      <c r="P320" s="707"/>
      <c r="Q320" s="707"/>
      <c r="R320" s="707"/>
      <c r="S320" s="707"/>
      <c r="T320" s="707"/>
      <c r="U320" s="707"/>
      <c r="V320" s="707"/>
      <c r="W320" s="707"/>
      <c r="X320" s="707"/>
      <c r="Y320" s="707"/>
      <c r="Z320" s="707"/>
      <c r="AA320" s="36" t="str">
        <f t="shared" si="322"/>
        <v/>
      </c>
      <c r="AB320" s="288" t="str">
        <f t="shared" si="374"/>
        <v/>
      </c>
      <c r="AC320" s="288" t="str">
        <f t="shared" si="375"/>
        <v/>
      </c>
      <c r="AD320" s="288" t="str">
        <f t="shared" si="376"/>
        <v/>
      </c>
      <c r="AE320" s="288" t="str">
        <f t="shared" si="377"/>
        <v/>
      </c>
      <c r="AF320" s="288" t="str">
        <f t="shared" si="378"/>
        <v/>
      </c>
      <c r="AG320" s="288" t="str">
        <f t="shared" si="379"/>
        <v/>
      </c>
      <c r="AH320" s="288" t="str">
        <f t="shared" si="380"/>
        <v/>
      </c>
      <c r="AI320" s="36">
        <f t="shared" si="381"/>
        <v>-1</v>
      </c>
      <c r="AJ320" s="36">
        <f t="shared" si="382"/>
        <v>-1</v>
      </c>
      <c r="AK320" s="36">
        <f t="shared" si="383"/>
        <v>-1</v>
      </c>
      <c r="AL320" s="36"/>
      <c r="AM320" s="36" t="str">
        <f t="shared" si="324"/>
        <v/>
      </c>
      <c r="AN320" s="288" t="str">
        <f t="shared" si="384"/>
        <v/>
      </c>
      <c r="AO320" s="288" t="str">
        <f t="shared" si="385"/>
        <v/>
      </c>
      <c r="AP320" s="288" t="str">
        <f t="shared" si="386"/>
        <v/>
      </c>
      <c r="AQ320" s="36">
        <f t="shared" ref="AQ320:AS320" si="400">AQ319</f>
        <v>3.3793103448275866E-2</v>
      </c>
      <c r="AR320" s="36">
        <f t="shared" si="400"/>
        <v>5.9329425287356324E-2</v>
      </c>
      <c r="AS320" s="36">
        <f t="shared" si="400"/>
        <v>8.4865747126436797E-2</v>
      </c>
      <c r="AT320" s="288">
        <f t="shared" si="388"/>
        <v>0.11040206896551726</v>
      </c>
    </row>
    <row r="321" spans="2:46">
      <c r="B321" s="287"/>
      <c r="C321" s="707"/>
      <c r="D321" s="707"/>
      <c r="E321" s="707"/>
      <c r="F321" s="707"/>
      <c r="G321" s="707"/>
      <c r="H321" s="707"/>
      <c r="I321" s="707"/>
      <c r="J321" s="707"/>
      <c r="K321" s="707"/>
      <c r="L321" s="707"/>
      <c r="M321" s="707"/>
      <c r="N321" s="707"/>
      <c r="O321" s="707"/>
      <c r="P321" s="707"/>
      <c r="Q321" s="707"/>
      <c r="R321" s="707"/>
      <c r="S321" s="707"/>
      <c r="T321" s="707"/>
      <c r="U321" s="707"/>
      <c r="V321" s="707"/>
      <c r="W321" s="707"/>
      <c r="X321" s="707"/>
      <c r="Y321" s="707"/>
      <c r="Z321" s="707"/>
      <c r="AA321" s="36" t="str">
        <f t="shared" si="322"/>
        <v/>
      </c>
      <c r="AB321" s="288" t="str">
        <f t="shared" si="374"/>
        <v/>
      </c>
      <c r="AC321" s="288" t="str">
        <f t="shared" si="375"/>
        <v/>
      </c>
      <c r="AD321" s="288" t="str">
        <f t="shared" si="376"/>
        <v/>
      </c>
      <c r="AE321" s="288" t="str">
        <f t="shared" si="377"/>
        <v/>
      </c>
      <c r="AF321" s="288" t="str">
        <f t="shared" si="378"/>
        <v/>
      </c>
      <c r="AG321" s="288" t="str">
        <f t="shared" si="379"/>
        <v/>
      </c>
      <c r="AH321" s="288" t="str">
        <f t="shared" si="380"/>
        <v/>
      </c>
      <c r="AI321" s="36">
        <f t="shared" si="381"/>
        <v>-1</v>
      </c>
      <c r="AJ321" s="36">
        <f t="shared" si="382"/>
        <v>-1</v>
      </c>
      <c r="AK321" s="36">
        <f t="shared" si="383"/>
        <v>-1</v>
      </c>
      <c r="AL321" s="36"/>
      <c r="AM321" s="36" t="str">
        <f t="shared" si="324"/>
        <v/>
      </c>
      <c r="AN321" s="288" t="str">
        <f t="shared" si="384"/>
        <v/>
      </c>
      <c r="AO321" s="288" t="str">
        <f t="shared" si="385"/>
        <v/>
      </c>
      <c r="AP321" s="288" t="str">
        <f t="shared" si="386"/>
        <v/>
      </c>
      <c r="AQ321" s="36">
        <f t="shared" ref="AQ321:AS321" si="401">AQ320</f>
        <v>3.3793103448275866E-2</v>
      </c>
      <c r="AR321" s="36">
        <f t="shared" si="401"/>
        <v>5.9329425287356324E-2</v>
      </c>
      <c r="AS321" s="36">
        <f t="shared" si="401"/>
        <v>8.4865747126436797E-2</v>
      </c>
      <c r="AT321" s="288">
        <f t="shared" si="388"/>
        <v>0.11040206896551726</v>
      </c>
    </row>
    <row r="322" spans="2:46">
      <c r="B322" s="287"/>
      <c r="C322" s="707"/>
      <c r="D322" s="707"/>
      <c r="E322" s="707"/>
      <c r="F322" s="707"/>
      <c r="G322" s="707"/>
      <c r="H322" s="707"/>
      <c r="I322" s="707"/>
      <c r="J322" s="707"/>
      <c r="K322" s="707"/>
      <c r="L322" s="707"/>
      <c r="M322" s="707"/>
      <c r="N322" s="707"/>
      <c r="O322" s="707"/>
      <c r="P322" s="707"/>
      <c r="Q322" s="707"/>
      <c r="R322" s="707"/>
      <c r="S322" s="707"/>
      <c r="T322" s="707"/>
      <c r="U322" s="707"/>
      <c r="V322" s="707"/>
      <c r="W322" s="707"/>
      <c r="X322" s="707"/>
      <c r="Y322" s="707"/>
      <c r="Z322" s="707"/>
      <c r="AA322" s="36" t="str">
        <f t="shared" ref="AA322:AA385" si="402">IF(B322="","",B322)</f>
        <v/>
      </c>
      <c r="AB322" s="288" t="str">
        <f t="shared" si="374"/>
        <v/>
      </c>
      <c r="AC322" s="288" t="str">
        <f t="shared" si="375"/>
        <v/>
      </c>
      <c r="AD322" s="288" t="str">
        <f t="shared" si="376"/>
        <v/>
      </c>
      <c r="AE322" s="288" t="str">
        <f t="shared" si="377"/>
        <v/>
      </c>
      <c r="AF322" s="288" t="str">
        <f t="shared" si="378"/>
        <v/>
      </c>
      <c r="AG322" s="288" t="str">
        <f t="shared" si="379"/>
        <v/>
      </c>
      <c r="AH322" s="288" t="str">
        <f t="shared" si="380"/>
        <v/>
      </c>
      <c r="AI322" s="36">
        <f t="shared" si="381"/>
        <v>-1</v>
      </c>
      <c r="AJ322" s="36">
        <f t="shared" si="382"/>
        <v>-1</v>
      </c>
      <c r="AK322" s="36">
        <f t="shared" si="383"/>
        <v>-1</v>
      </c>
      <c r="AL322" s="36"/>
      <c r="AM322" s="36" t="str">
        <f t="shared" si="324"/>
        <v/>
      </c>
      <c r="AN322" s="288" t="str">
        <f t="shared" si="384"/>
        <v/>
      </c>
      <c r="AO322" s="288" t="str">
        <f t="shared" si="385"/>
        <v/>
      </c>
      <c r="AP322" s="288" t="str">
        <f t="shared" si="386"/>
        <v/>
      </c>
      <c r="AQ322" s="36">
        <f t="shared" ref="AQ322:AS322" si="403">AQ321</f>
        <v>3.3793103448275866E-2</v>
      </c>
      <c r="AR322" s="36">
        <f t="shared" si="403"/>
        <v>5.9329425287356324E-2</v>
      </c>
      <c r="AS322" s="36">
        <f t="shared" si="403"/>
        <v>8.4865747126436797E-2</v>
      </c>
      <c r="AT322" s="288">
        <f t="shared" si="388"/>
        <v>0.11040206896551726</v>
      </c>
    </row>
    <row r="323" spans="2:46">
      <c r="B323" s="287"/>
      <c r="C323" s="707"/>
      <c r="D323" s="707"/>
      <c r="E323" s="707"/>
      <c r="F323" s="707"/>
      <c r="G323" s="707"/>
      <c r="H323" s="707"/>
      <c r="I323" s="707"/>
      <c r="J323" s="707"/>
      <c r="K323" s="707"/>
      <c r="L323" s="707"/>
      <c r="M323" s="707"/>
      <c r="N323" s="707"/>
      <c r="O323" s="707"/>
      <c r="P323" s="707"/>
      <c r="Q323" s="707"/>
      <c r="R323" s="707"/>
      <c r="S323" s="707"/>
      <c r="T323" s="707"/>
      <c r="U323" s="707"/>
      <c r="V323" s="707"/>
      <c r="W323" s="707"/>
      <c r="X323" s="707"/>
      <c r="Y323" s="707"/>
      <c r="Z323" s="707"/>
      <c r="AA323" s="36" t="str">
        <f t="shared" si="402"/>
        <v/>
      </c>
      <c r="AB323" s="288" t="str">
        <f t="shared" si="374"/>
        <v/>
      </c>
      <c r="AC323" s="288" t="str">
        <f t="shared" si="375"/>
        <v/>
      </c>
      <c r="AD323" s="288" t="str">
        <f t="shared" si="376"/>
        <v/>
      </c>
      <c r="AE323" s="288" t="str">
        <f t="shared" si="377"/>
        <v/>
      </c>
      <c r="AF323" s="288" t="str">
        <f t="shared" si="378"/>
        <v/>
      </c>
      <c r="AG323" s="288" t="str">
        <f t="shared" si="379"/>
        <v/>
      </c>
      <c r="AH323" s="288" t="str">
        <f t="shared" si="380"/>
        <v/>
      </c>
      <c r="AI323" s="36">
        <f t="shared" si="381"/>
        <v>-1</v>
      </c>
      <c r="AJ323" s="36">
        <f t="shared" si="382"/>
        <v>-1</v>
      </c>
      <c r="AK323" s="36">
        <f t="shared" si="383"/>
        <v>-1</v>
      </c>
      <c r="AL323" s="36"/>
      <c r="AM323" s="36" t="str">
        <f t="shared" ref="AM323:AM386" si="404">IF(B323="", "", ABS(B323-B322))</f>
        <v/>
      </c>
      <c r="AN323" s="288" t="str">
        <f t="shared" si="384"/>
        <v/>
      </c>
      <c r="AO323" s="288" t="str">
        <f t="shared" si="385"/>
        <v/>
      </c>
      <c r="AP323" s="288" t="str">
        <f t="shared" si="386"/>
        <v/>
      </c>
      <c r="AQ323" s="36">
        <f t="shared" ref="AQ323:AS323" si="405">AQ322</f>
        <v>3.3793103448275866E-2</v>
      </c>
      <c r="AR323" s="36">
        <f t="shared" si="405"/>
        <v>5.9329425287356324E-2</v>
      </c>
      <c r="AS323" s="36">
        <f t="shared" si="405"/>
        <v>8.4865747126436797E-2</v>
      </c>
      <c r="AT323" s="288">
        <f t="shared" si="388"/>
        <v>0.11040206896551726</v>
      </c>
    </row>
    <row r="324" spans="2:46">
      <c r="B324" s="287"/>
      <c r="C324" s="707"/>
      <c r="D324" s="707"/>
      <c r="E324" s="707"/>
      <c r="F324" s="707"/>
      <c r="G324" s="707"/>
      <c r="H324" s="707"/>
      <c r="I324" s="707"/>
      <c r="J324" s="707"/>
      <c r="K324" s="707"/>
      <c r="L324" s="707"/>
      <c r="M324" s="707"/>
      <c r="N324" s="707"/>
      <c r="O324" s="707"/>
      <c r="P324" s="707"/>
      <c r="Q324" s="707"/>
      <c r="R324" s="707"/>
      <c r="S324" s="707"/>
      <c r="T324" s="707"/>
      <c r="U324" s="707"/>
      <c r="V324" s="707"/>
      <c r="W324" s="707"/>
      <c r="X324" s="707"/>
      <c r="Y324" s="707"/>
      <c r="Z324" s="707"/>
      <c r="AA324" s="36" t="str">
        <f t="shared" si="402"/>
        <v/>
      </c>
      <c r="AB324" s="288" t="str">
        <f t="shared" si="374"/>
        <v/>
      </c>
      <c r="AC324" s="288" t="str">
        <f t="shared" si="375"/>
        <v/>
      </c>
      <c r="AD324" s="288" t="str">
        <f t="shared" si="376"/>
        <v/>
      </c>
      <c r="AE324" s="288" t="str">
        <f t="shared" si="377"/>
        <v/>
      </c>
      <c r="AF324" s="288" t="str">
        <f t="shared" si="378"/>
        <v/>
      </c>
      <c r="AG324" s="288" t="str">
        <f t="shared" si="379"/>
        <v/>
      </c>
      <c r="AH324" s="288" t="str">
        <f t="shared" si="380"/>
        <v/>
      </c>
      <c r="AI324" s="36">
        <f t="shared" si="381"/>
        <v>-1</v>
      </c>
      <c r="AJ324" s="36">
        <f t="shared" si="382"/>
        <v>-1</v>
      </c>
      <c r="AK324" s="36">
        <f t="shared" si="383"/>
        <v>-1</v>
      </c>
      <c r="AL324" s="36"/>
      <c r="AM324" s="36" t="str">
        <f t="shared" si="404"/>
        <v/>
      </c>
      <c r="AN324" s="288" t="str">
        <f t="shared" si="384"/>
        <v/>
      </c>
      <c r="AO324" s="288" t="str">
        <f t="shared" si="385"/>
        <v/>
      </c>
      <c r="AP324" s="288" t="str">
        <f t="shared" si="386"/>
        <v/>
      </c>
      <c r="AQ324" s="36">
        <f t="shared" ref="AQ324:AS324" si="406">AQ323</f>
        <v>3.3793103448275866E-2</v>
      </c>
      <c r="AR324" s="36">
        <f t="shared" si="406"/>
        <v>5.9329425287356324E-2</v>
      </c>
      <c r="AS324" s="36">
        <f t="shared" si="406"/>
        <v>8.4865747126436797E-2</v>
      </c>
      <c r="AT324" s="288">
        <f t="shared" si="388"/>
        <v>0.11040206896551726</v>
      </c>
    </row>
    <row r="325" spans="2:46">
      <c r="B325" s="287"/>
      <c r="C325" s="707"/>
      <c r="D325" s="707"/>
      <c r="E325" s="707"/>
      <c r="F325" s="707"/>
      <c r="G325" s="707"/>
      <c r="H325" s="707"/>
      <c r="I325" s="707"/>
      <c r="J325" s="707"/>
      <c r="K325" s="707"/>
      <c r="L325" s="707"/>
      <c r="M325" s="707"/>
      <c r="N325" s="707"/>
      <c r="O325" s="707"/>
      <c r="P325" s="707"/>
      <c r="Q325" s="707"/>
      <c r="R325" s="707"/>
      <c r="S325" s="707"/>
      <c r="T325" s="707"/>
      <c r="U325" s="707"/>
      <c r="V325" s="707"/>
      <c r="W325" s="707"/>
      <c r="X325" s="707"/>
      <c r="Y325" s="707"/>
      <c r="Z325" s="707"/>
      <c r="AA325" s="36" t="str">
        <f t="shared" si="402"/>
        <v/>
      </c>
      <c r="AB325" s="288" t="str">
        <f t="shared" si="374"/>
        <v/>
      </c>
      <c r="AC325" s="288" t="str">
        <f t="shared" si="375"/>
        <v/>
      </c>
      <c r="AD325" s="288" t="str">
        <f t="shared" si="376"/>
        <v/>
      </c>
      <c r="AE325" s="288" t="str">
        <f t="shared" si="377"/>
        <v/>
      </c>
      <c r="AF325" s="288" t="str">
        <f t="shared" si="378"/>
        <v/>
      </c>
      <c r="AG325" s="288" t="str">
        <f t="shared" si="379"/>
        <v/>
      </c>
      <c r="AH325" s="288" t="str">
        <f t="shared" si="380"/>
        <v/>
      </c>
      <c r="AI325" s="36">
        <f t="shared" si="381"/>
        <v>-1</v>
      </c>
      <c r="AJ325" s="36">
        <f t="shared" si="382"/>
        <v>-1</v>
      </c>
      <c r="AK325" s="36">
        <f t="shared" si="383"/>
        <v>-1</v>
      </c>
      <c r="AL325" s="36"/>
      <c r="AM325" s="36" t="str">
        <f t="shared" si="404"/>
        <v/>
      </c>
      <c r="AN325" s="288" t="str">
        <f t="shared" si="384"/>
        <v/>
      </c>
      <c r="AO325" s="288" t="str">
        <f t="shared" si="385"/>
        <v/>
      </c>
      <c r="AP325" s="288" t="str">
        <f t="shared" si="386"/>
        <v/>
      </c>
      <c r="AQ325" s="36">
        <f t="shared" ref="AQ325:AS325" si="407">AQ324</f>
        <v>3.3793103448275866E-2</v>
      </c>
      <c r="AR325" s="36">
        <f t="shared" si="407"/>
        <v>5.9329425287356324E-2</v>
      </c>
      <c r="AS325" s="36">
        <f t="shared" si="407"/>
        <v>8.4865747126436797E-2</v>
      </c>
      <c r="AT325" s="288">
        <f t="shared" si="388"/>
        <v>0.11040206896551726</v>
      </c>
    </row>
    <row r="326" spans="2:46">
      <c r="B326" s="287"/>
      <c r="C326" s="707"/>
      <c r="D326" s="707"/>
      <c r="E326" s="707"/>
      <c r="F326" s="707"/>
      <c r="G326" s="707"/>
      <c r="H326" s="707"/>
      <c r="I326" s="707"/>
      <c r="J326" s="707"/>
      <c r="K326" s="707"/>
      <c r="L326" s="707"/>
      <c r="M326" s="707"/>
      <c r="N326" s="707"/>
      <c r="O326" s="707"/>
      <c r="P326" s="707"/>
      <c r="Q326" s="707"/>
      <c r="R326" s="707"/>
      <c r="S326" s="707"/>
      <c r="T326" s="707"/>
      <c r="U326" s="707"/>
      <c r="V326" s="707"/>
      <c r="W326" s="707"/>
      <c r="X326" s="707"/>
      <c r="Y326" s="707"/>
      <c r="Z326" s="707"/>
      <c r="AA326" s="36" t="str">
        <f t="shared" si="402"/>
        <v/>
      </c>
      <c r="AB326" s="288" t="str">
        <f t="shared" si="374"/>
        <v/>
      </c>
      <c r="AC326" s="288" t="str">
        <f t="shared" si="375"/>
        <v/>
      </c>
      <c r="AD326" s="288" t="str">
        <f t="shared" si="376"/>
        <v/>
      </c>
      <c r="AE326" s="288" t="str">
        <f t="shared" si="377"/>
        <v/>
      </c>
      <c r="AF326" s="288" t="str">
        <f t="shared" si="378"/>
        <v/>
      </c>
      <c r="AG326" s="288" t="str">
        <f t="shared" si="379"/>
        <v/>
      </c>
      <c r="AH326" s="288" t="str">
        <f t="shared" si="380"/>
        <v/>
      </c>
      <c r="AI326" s="36">
        <f t="shared" si="381"/>
        <v>-1</v>
      </c>
      <c r="AJ326" s="36">
        <f t="shared" si="382"/>
        <v>-1</v>
      </c>
      <c r="AK326" s="36">
        <f t="shared" si="383"/>
        <v>-1</v>
      </c>
      <c r="AL326" s="36"/>
      <c r="AM326" s="36" t="str">
        <f t="shared" si="404"/>
        <v/>
      </c>
      <c r="AN326" s="288" t="str">
        <f t="shared" si="384"/>
        <v/>
      </c>
      <c r="AO326" s="288" t="str">
        <f t="shared" si="385"/>
        <v/>
      </c>
      <c r="AP326" s="288" t="str">
        <f t="shared" si="386"/>
        <v/>
      </c>
      <c r="AQ326" s="36">
        <f t="shared" ref="AQ326:AS326" si="408">AQ325</f>
        <v>3.3793103448275866E-2</v>
      </c>
      <c r="AR326" s="36">
        <f t="shared" si="408"/>
        <v>5.9329425287356324E-2</v>
      </c>
      <c r="AS326" s="36">
        <f t="shared" si="408"/>
        <v>8.4865747126436797E-2</v>
      </c>
      <c r="AT326" s="288">
        <f t="shared" si="388"/>
        <v>0.11040206896551726</v>
      </c>
    </row>
    <row r="327" spans="2:46">
      <c r="B327" s="287"/>
      <c r="C327" s="707"/>
      <c r="D327" s="707"/>
      <c r="E327" s="707"/>
      <c r="F327" s="707"/>
      <c r="G327" s="707"/>
      <c r="H327" s="707"/>
      <c r="I327" s="707"/>
      <c r="J327" s="707"/>
      <c r="K327" s="707"/>
      <c r="L327" s="707"/>
      <c r="M327" s="707"/>
      <c r="N327" s="707"/>
      <c r="O327" s="707"/>
      <c r="P327" s="707"/>
      <c r="Q327" s="707"/>
      <c r="R327" s="707"/>
      <c r="S327" s="707"/>
      <c r="T327" s="707"/>
      <c r="U327" s="707"/>
      <c r="V327" s="707"/>
      <c r="W327" s="707"/>
      <c r="X327" s="707"/>
      <c r="Y327" s="707"/>
      <c r="Z327" s="707"/>
      <c r="AA327" s="36" t="str">
        <f t="shared" si="402"/>
        <v/>
      </c>
      <c r="AB327" s="288" t="str">
        <f t="shared" si="374"/>
        <v/>
      </c>
      <c r="AC327" s="288" t="str">
        <f t="shared" si="375"/>
        <v/>
      </c>
      <c r="AD327" s="288" t="str">
        <f t="shared" si="376"/>
        <v/>
      </c>
      <c r="AE327" s="288" t="str">
        <f t="shared" si="377"/>
        <v/>
      </c>
      <c r="AF327" s="288" t="str">
        <f t="shared" si="378"/>
        <v/>
      </c>
      <c r="AG327" s="288" t="str">
        <f t="shared" si="379"/>
        <v/>
      </c>
      <c r="AH327" s="288" t="str">
        <f t="shared" si="380"/>
        <v/>
      </c>
      <c r="AI327" s="36">
        <f t="shared" si="381"/>
        <v>-1</v>
      </c>
      <c r="AJ327" s="36">
        <f t="shared" si="382"/>
        <v>-1</v>
      </c>
      <c r="AK327" s="36">
        <f t="shared" si="383"/>
        <v>-1</v>
      </c>
      <c r="AL327" s="36"/>
      <c r="AM327" s="36" t="str">
        <f t="shared" si="404"/>
        <v/>
      </c>
      <c r="AN327" s="288" t="str">
        <f t="shared" si="384"/>
        <v/>
      </c>
      <c r="AO327" s="288" t="str">
        <f t="shared" si="385"/>
        <v/>
      </c>
      <c r="AP327" s="288" t="str">
        <f t="shared" si="386"/>
        <v/>
      </c>
      <c r="AQ327" s="36">
        <f t="shared" ref="AQ327:AS327" si="409">AQ326</f>
        <v>3.3793103448275866E-2</v>
      </c>
      <c r="AR327" s="36">
        <f t="shared" si="409"/>
        <v>5.9329425287356324E-2</v>
      </c>
      <c r="AS327" s="36">
        <f t="shared" si="409"/>
        <v>8.4865747126436797E-2</v>
      </c>
      <c r="AT327" s="288">
        <f t="shared" si="388"/>
        <v>0.11040206896551726</v>
      </c>
    </row>
    <row r="328" spans="2:46">
      <c r="B328" s="287"/>
      <c r="C328" s="707"/>
      <c r="D328" s="707"/>
      <c r="E328" s="707"/>
      <c r="F328" s="707"/>
      <c r="G328" s="707"/>
      <c r="H328" s="707"/>
      <c r="I328" s="707"/>
      <c r="J328" s="707"/>
      <c r="K328" s="707"/>
      <c r="L328" s="707"/>
      <c r="M328" s="707"/>
      <c r="N328" s="707"/>
      <c r="O328" s="707"/>
      <c r="P328" s="707"/>
      <c r="Q328" s="707"/>
      <c r="R328" s="707"/>
      <c r="S328" s="707"/>
      <c r="T328" s="707"/>
      <c r="U328" s="707"/>
      <c r="V328" s="707"/>
      <c r="W328" s="707"/>
      <c r="X328" s="707"/>
      <c r="Y328" s="707"/>
      <c r="Z328" s="707"/>
      <c r="AA328" s="36" t="str">
        <f t="shared" si="402"/>
        <v/>
      </c>
      <c r="AB328" s="288" t="str">
        <f t="shared" si="374"/>
        <v/>
      </c>
      <c r="AC328" s="288" t="str">
        <f t="shared" si="375"/>
        <v/>
      </c>
      <c r="AD328" s="288" t="str">
        <f t="shared" si="376"/>
        <v/>
      </c>
      <c r="AE328" s="288" t="str">
        <f t="shared" si="377"/>
        <v/>
      </c>
      <c r="AF328" s="288" t="str">
        <f t="shared" si="378"/>
        <v/>
      </c>
      <c r="AG328" s="288" t="str">
        <f t="shared" si="379"/>
        <v/>
      </c>
      <c r="AH328" s="288" t="str">
        <f t="shared" si="380"/>
        <v/>
      </c>
      <c r="AI328" s="36">
        <f t="shared" si="381"/>
        <v>-1</v>
      </c>
      <c r="AJ328" s="36">
        <f t="shared" si="382"/>
        <v>-1</v>
      </c>
      <c r="AK328" s="36">
        <f t="shared" si="383"/>
        <v>-1</v>
      </c>
      <c r="AL328" s="36"/>
      <c r="AM328" s="36" t="str">
        <f t="shared" si="404"/>
        <v/>
      </c>
      <c r="AN328" s="288" t="str">
        <f t="shared" si="384"/>
        <v/>
      </c>
      <c r="AO328" s="288" t="str">
        <f t="shared" si="385"/>
        <v/>
      </c>
      <c r="AP328" s="288" t="str">
        <f t="shared" si="386"/>
        <v/>
      </c>
      <c r="AQ328" s="36">
        <f t="shared" ref="AQ328:AS328" si="410">AQ327</f>
        <v>3.3793103448275866E-2</v>
      </c>
      <c r="AR328" s="36">
        <f t="shared" si="410"/>
        <v>5.9329425287356324E-2</v>
      </c>
      <c r="AS328" s="36">
        <f t="shared" si="410"/>
        <v>8.4865747126436797E-2</v>
      </c>
      <c r="AT328" s="288">
        <f t="shared" si="388"/>
        <v>0.11040206896551726</v>
      </c>
    </row>
    <row r="329" spans="2:46">
      <c r="B329" s="287"/>
      <c r="C329" s="707"/>
      <c r="D329" s="707"/>
      <c r="E329" s="707"/>
      <c r="F329" s="707"/>
      <c r="G329" s="707"/>
      <c r="H329" s="707"/>
      <c r="I329" s="707"/>
      <c r="J329" s="707"/>
      <c r="K329" s="707"/>
      <c r="L329" s="707"/>
      <c r="M329" s="707"/>
      <c r="N329" s="707"/>
      <c r="O329" s="707"/>
      <c r="P329" s="707"/>
      <c r="Q329" s="707"/>
      <c r="R329" s="707"/>
      <c r="S329" s="707"/>
      <c r="T329" s="707"/>
      <c r="U329" s="707"/>
      <c r="V329" s="707"/>
      <c r="W329" s="707"/>
      <c r="X329" s="707"/>
      <c r="Y329" s="707"/>
      <c r="Z329" s="707"/>
      <c r="AA329" s="36" t="str">
        <f t="shared" si="402"/>
        <v/>
      </c>
      <c r="AB329" s="288" t="str">
        <f t="shared" si="374"/>
        <v/>
      </c>
      <c r="AC329" s="288" t="str">
        <f t="shared" si="375"/>
        <v/>
      </c>
      <c r="AD329" s="288" t="str">
        <f t="shared" si="376"/>
        <v/>
      </c>
      <c r="AE329" s="288" t="str">
        <f t="shared" si="377"/>
        <v/>
      </c>
      <c r="AF329" s="288" t="str">
        <f t="shared" si="378"/>
        <v/>
      </c>
      <c r="AG329" s="288" t="str">
        <f t="shared" si="379"/>
        <v/>
      </c>
      <c r="AH329" s="288" t="str">
        <f t="shared" si="380"/>
        <v/>
      </c>
      <c r="AI329" s="36">
        <f t="shared" si="381"/>
        <v>-1</v>
      </c>
      <c r="AJ329" s="36">
        <f t="shared" si="382"/>
        <v>-1</v>
      </c>
      <c r="AK329" s="36">
        <f t="shared" si="383"/>
        <v>-1</v>
      </c>
      <c r="AL329" s="36"/>
      <c r="AM329" s="36" t="str">
        <f t="shared" si="404"/>
        <v/>
      </c>
      <c r="AN329" s="288" t="str">
        <f t="shared" si="384"/>
        <v/>
      </c>
      <c r="AO329" s="288" t="str">
        <f t="shared" si="385"/>
        <v/>
      </c>
      <c r="AP329" s="288" t="str">
        <f t="shared" si="386"/>
        <v/>
      </c>
      <c r="AQ329" s="36">
        <f t="shared" ref="AQ329:AS329" si="411">AQ328</f>
        <v>3.3793103448275866E-2</v>
      </c>
      <c r="AR329" s="36">
        <f t="shared" si="411"/>
        <v>5.9329425287356324E-2</v>
      </c>
      <c r="AS329" s="36">
        <f t="shared" si="411"/>
        <v>8.4865747126436797E-2</v>
      </c>
      <c r="AT329" s="288">
        <f t="shared" si="388"/>
        <v>0.11040206896551726</v>
      </c>
    </row>
    <row r="330" spans="2:46">
      <c r="B330" s="287"/>
      <c r="C330" s="707"/>
      <c r="D330" s="707"/>
      <c r="E330" s="707"/>
      <c r="F330" s="707"/>
      <c r="G330" s="707"/>
      <c r="H330" s="707"/>
      <c r="I330" s="707"/>
      <c r="J330" s="707"/>
      <c r="K330" s="707"/>
      <c r="L330" s="707"/>
      <c r="M330" s="707"/>
      <c r="N330" s="707"/>
      <c r="O330" s="707"/>
      <c r="P330" s="707"/>
      <c r="Q330" s="707"/>
      <c r="R330" s="707"/>
      <c r="S330" s="707"/>
      <c r="T330" s="707"/>
      <c r="U330" s="707"/>
      <c r="V330" s="707"/>
      <c r="W330" s="707"/>
      <c r="X330" s="707"/>
      <c r="Y330" s="707"/>
      <c r="Z330" s="707"/>
      <c r="AA330" s="36" t="str">
        <f t="shared" si="402"/>
        <v/>
      </c>
      <c r="AB330" s="288" t="str">
        <f t="shared" si="374"/>
        <v/>
      </c>
      <c r="AC330" s="288" t="str">
        <f t="shared" si="375"/>
        <v/>
      </c>
      <c r="AD330" s="288" t="str">
        <f t="shared" si="376"/>
        <v/>
      </c>
      <c r="AE330" s="288" t="str">
        <f t="shared" si="377"/>
        <v/>
      </c>
      <c r="AF330" s="288" t="str">
        <f t="shared" si="378"/>
        <v/>
      </c>
      <c r="AG330" s="288" t="str">
        <f t="shared" si="379"/>
        <v/>
      </c>
      <c r="AH330" s="288" t="str">
        <f t="shared" si="380"/>
        <v/>
      </c>
      <c r="AI330" s="36">
        <f t="shared" si="381"/>
        <v>-1</v>
      </c>
      <c r="AJ330" s="36">
        <f t="shared" si="382"/>
        <v>-1</v>
      </c>
      <c r="AK330" s="36">
        <f t="shared" si="383"/>
        <v>-1</v>
      </c>
      <c r="AL330" s="36"/>
      <c r="AM330" s="36" t="str">
        <f t="shared" si="404"/>
        <v/>
      </c>
      <c r="AN330" s="288" t="str">
        <f t="shared" si="384"/>
        <v/>
      </c>
      <c r="AO330" s="288" t="str">
        <f t="shared" si="385"/>
        <v/>
      </c>
      <c r="AP330" s="288" t="str">
        <f t="shared" si="386"/>
        <v/>
      </c>
      <c r="AQ330" s="36">
        <f t="shared" ref="AQ330:AS330" si="412">AQ329</f>
        <v>3.3793103448275866E-2</v>
      </c>
      <c r="AR330" s="36">
        <f t="shared" si="412"/>
        <v>5.9329425287356324E-2</v>
      </c>
      <c r="AS330" s="36">
        <f t="shared" si="412"/>
        <v>8.4865747126436797E-2</v>
      </c>
      <c r="AT330" s="288">
        <f t="shared" si="388"/>
        <v>0.11040206896551726</v>
      </c>
    </row>
    <row r="331" spans="2:46">
      <c r="B331" s="287"/>
      <c r="C331" s="707"/>
      <c r="D331" s="707"/>
      <c r="E331" s="707"/>
      <c r="F331" s="707"/>
      <c r="G331" s="707"/>
      <c r="H331" s="707"/>
      <c r="I331" s="707"/>
      <c r="J331" s="707"/>
      <c r="K331" s="707"/>
      <c r="L331" s="707"/>
      <c r="M331" s="707"/>
      <c r="N331" s="707"/>
      <c r="O331" s="707"/>
      <c r="P331" s="707"/>
      <c r="Q331" s="707"/>
      <c r="R331" s="707"/>
      <c r="S331" s="707"/>
      <c r="T331" s="707"/>
      <c r="U331" s="707"/>
      <c r="V331" s="707"/>
      <c r="W331" s="707"/>
      <c r="X331" s="707"/>
      <c r="Y331" s="707"/>
      <c r="Z331" s="707"/>
      <c r="AA331" s="36" t="str">
        <f t="shared" si="402"/>
        <v/>
      </c>
      <c r="AB331" s="288" t="str">
        <f t="shared" si="374"/>
        <v/>
      </c>
      <c r="AC331" s="288" t="str">
        <f t="shared" si="375"/>
        <v/>
      </c>
      <c r="AD331" s="288" t="str">
        <f t="shared" si="376"/>
        <v/>
      </c>
      <c r="AE331" s="288" t="str">
        <f t="shared" si="377"/>
        <v/>
      </c>
      <c r="AF331" s="288" t="str">
        <f t="shared" si="378"/>
        <v/>
      </c>
      <c r="AG331" s="288" t="str">
        <f t="shared" si="379"/>
        <v/>
      </c>
      <c r="AH331" s="288" t="str">
        <f t="shared" si="380"/>
        <v/>
      </c>
      <c r="AI331" s="36">
        <f t="shared" si="381"/>
        <v>-1</v>
      </c>
      <c r="AJ331" s="36">
        <f t="shared" si="382"/>
        <v>-1</v>
      </c>
      <c r="AK331" s="36">
        <f t="shared" si="383"/>
        <v>-1</v>
      </c>
      <c r="AL331" s="36"/>
      <c r="AM331" s="36" t="str">
        <f t="shared" si="404"/>
        <v/>
      </c>
      <c r="AN331" s="288" t="str">
        <f t="shared" si="384"/>
        <v/>
      </c>
      <c r="AO331" s="288" t="str">
        <f t="shared" si="385"/>
        <v/>
      </c>
      <c r="AP331" s="288" t="str">
        <f t="shared" si="386"/>
        <v/>
      </c>
      <c r="AQ331" s="36">
        <f t="shared" ref="AQ331:AS331" si="413">AQ330</f>
        <v>3.3793103448275866E-2</v>
      </c>
      <c r="AR331" s="36">
        <f t="shared" si="413"/>
        <v>5.9329425287356324E-2</v>
      </c>
      <c r="AS331" s="36">
        <f t="shared" si="413"/>
        <v>8.4865747126436797E-2</v>
      </c>
      <c r="AT331" s="288">
        <f t="shared" si="388"/>
        <v>0.11040206896551726</v>
      </c>
    </row>
    <row r="332" spans="2:46">
      <c r="B332" s="287"/>
      <c r="C332" s="707"/>
      <c r="D332" s="707"/>
      <c r="E332" s="707"/>
      <c r="F332" s="707"/>
      <c r="G332" s="707"/>
      <c r="H332" s="707"/>
      <c r="I332" s="707"/>
      <c r="J332" s="707"/>
      <c r="K332" s="707"/>
      <c r="L332" s="707"/>
      <c r="M332" s="707"/>
      <c r="N332" s="707"/>
      <c r="O332" s="707"/>
      <c r="P332" s="707"/>
      <c r="Q332" s="707"/>
      <c r="R332" s="707"/>
      <c r="S332" s="707"/>
      <c r="T332" s="707"/>
      <c r="U332" s="707"/>
      <c r="V332" s="707"/>
      <c r="W332" s="707"/>
      <c r="X332" s="707"/>
      <c r="Y332" s="707"/>
      <c r="Z332" s="707"/>
      <c r="AA332" s="36" t="str">
        <f t="shared" si="402"/>
        <v/>
      </c>
      <c r="AB332" s="288" t="str">
        <f t="shared" si="374"/>
        <v/>
      </c>
      <c r="AC332" s="288" t="str">
        <f t="shared" si="375"/>
        <v/>
      </c>
      <c r="AD332" s="288" t="str">
        <f t="shared" si="376"/>
        <v/>
      </c>
      <c r="AE332" s="288" t="str">
        <f t="shared" si="377"/>
        <v/>
      </c>
      <c r="AF332" s="288" t="str">
        <f t="shared" si="378"/>
        <v/>
      </c>
      <c r="AG332" s="288" t="str">
        <f t="shared" si="379"/>
        <v/>
      </c>
      <c r="AH332" s="288" t="str">
        <f t="shared" si="380"/>
        <v/>
      </c>
      <c r="AI332" s="36">
        <f t="shared" si="381"/>
        <v>-1</v>
      </c>
      <c r="AJ332" s="36">
        <f t="shared" si="382"/>
        <v>-1</v>
      </c>
      <c r="AK332" s="36">
        <f t="shared" si="383"/>
        <v>-1</v>
      </c>
      <c r="AL332" s="36"/>
      <c r="AM332" s="36" t="str">
        <f t="shared" si="404"/>
        <v/>
      </c>
      <c r="AN332" s="288" t="str">
        <f t="shared" si="384"/>
        <v/>
      </c>
      <c r="AO332" s="288" t="str">
        <f t="shared" si="385"/>
        <v/>
      </c>
      <c r="AP332" s="288" t="str">
        <f t="shared" si="386"/>
        <v/>
      </c>
      <c r="AQ332" s="36">
        <f t="shared" ref="AQ332:AS332" si="414">AQ331</f>
        <v>3.3793103448275866E-2</v>
      </c>
      <c r="AR332" s="36">
        <f t="shared" si="414"/>
        <v>5.9329425287356324E-2</v>
      </c>
      <c r="AS332" s="36">
        <f t="shared" si="414"/>
        <v>8.4865747126436797E-2</v>
      </c>
      <c r="AT332" s="288">
        <f t="shared" si="388"/>
        <v>0.11040206896551726</v>
      </c>
    </row>
    <row r="333" spans="2:46">
      <c r="B333" s="287"/>
      <c r="C333" s="707"/>
      <c r="D333" s="707"/>
      <c r="E333" s="707"/>
      <c r="F333" s="707"/>
      <c r="G333" s="707"/>
      <c r="H333" s="707"/>
      <c r="I333" s="707"/>
      <c r="J333" s="707"/>
      <c r="K333" s="707"/>
      <c r="L333" s="707"/>
      <c r="M333" s="707"/>
      <c r="N333" s="707"/>
      <c r="O333" s="707"/>
      <c r="P333" s="707"/>
      <c r="Q333" s="707"/>
      <c r="R333" s="707"/>
      <c r="S333" s="707"/>
      <c r="T333" s="707"/>
      <c r="U333" s="707"/>
      <c r="V333" s="707"/>
      <c r="W333" s="707"/>
      <c r="X333" s="707"/>
      <c r="Y333" s="707"/>
      <c r="Z333" s="707"/>
      <c r="AA333" s="36" t="str">
        <f t="shared" si="402"/>
        <v/>
      </c>
      <c r="AB333" s="288" t="str">
        <f t="shared" si="374"/>
        <v/>
      </c>
      <c r="AC333" s="288" t="str">
        <f t="shared" si="375"/>
        <v/>
      </c>
      <c r="AD333" s="288" t="str">
        <f t="shared" si="376"/>
        <v/>
      </c>
      <c r="AE333" s="288" t="str">
        <f t="shared" si="377"/>
        <v/>
      </c>
      <c r="AF333" s="288" t="str">
        <f t="shared" si="378"/>
        <v/>
      </c>
      <c r="AG333" s="288" t="str">
        <f t="shared" si="379"/>
        <v/>
      </c>
      <c r="AH333" s="288" t="str">
        <f t="shared" si="380"/>
        <v/>
      </c>
      <c r="AI333" s="36">
        <f t="shared" si="381"/>
        <v>-1</v>
      </c>
      <c r="AJ333" s="36">
        <f t="shared" si="382"/>
        <v>-1</v>
      </c>
      <c r="AK333" s="36">
        <f t="shared" si="383"/>
        <v>-1</v>
      </c>
      <c r="AL333" s="36"/>
      <c r="AM333" s="36" t="str">
        <f t="shared" si="404"/>
        <v/>
      </c>
      <c r="AN333" s="288" t="str">
        <f t="shared" si="384"/>
        <v/>
      </c>
      <c r="AO333" s="288" t="str">
        <f t="shared" si="385"/>
        <v/>
      </c>
      <c r="AP333" s="288" t="str">
        <f t="shared" si="386"/>
        <v/>
      </c>
      <c r="AQ333" s="36">
        <f t="shared" ref="AQ333:AS333" si="415">AQ332</f>
        <v>3.3793103448275866E-2</v>
      </c>
      <c r="AR333" s="36">
        <f t="shared" si="415"/>
        <v>5.9329425287356324E-2</v>
      </c>
      <c r="AS333" s="36">
        <f t="shared" si="415"/>
        <v>8.4865747126436797E-2</v>
      </c>
      <c r="AT333" s="288">
        <f t="shared" si="388"/>
        <v>0.11040206896551726</v>
      </c>
    </row>
    <row r="334" spans="2:46">
      <c r="B334" s="287"/>
      <c r="C334" s="707"/>
      <c r="D334" s="707"/>
      <c r="E334" s="707"/>
      <c r="F334" s="707"/>
      <c r="G334" s="707"/>
      <c r="H334" s="707"/>
      <c r="I334" s="707"/>
      <c r="J334" s="707"/>
      <c r="K334" s="707"/>
      <c r="L334" s="707"/>
      <c r="M334" s="707"/>
      <c r="N334" s="707"/>
      <c r="O334" s="707"/>
      <c r="P334" s="707"/>
      <c r="Q334" s="707"/>
      <c r="R334" s="707"/>
      <c r="S334" s="707"/>
      <c r="T334" s="707"/>
      <c r="U334" s="707"/>
      <c r="V334" s="707"/>
      <c r="W334" s="707"/>
      <c r="X334" s="707"/>
      <c r="Y334" s="707"/>
      <c r="Z334" s="707"/>
      <c r="AA334" s="36" t="str">
        <f t="shared" si="402"/>
        <v/>
      </c>
      <c r="AB334" s="288" t="str">
        <f t="shared" si="374"/>
        <v/>
      </c>
      <c r="AC334" s="288" t="str">
        <f t="shared" si="375"/>
        <v/>
      </c>
      <c r="AD334" s="288" t="str">
        <f t="shared" si="376"/>
        <v/>
      </c>
      <c r="AE334" s="288" t="str">
        <f t="shared" si="377"/>
        <v/>
      </c>
      <c r="AF334" s="288" t="str">
        <f t="shared" si="378"/>
        <v/>
      </c>
      <c r="AG334" s="288" t="str">
        <f t="shared" si="379"/>
        <v/>
      </c>
      <c r="AH334" s="288" t="str">
        <f t="shared" si="380"/>
        <v/>
      </c>
      <c r="AI334" s="36">
        <f t="shared" si="381"/>
        <v>-1</v>
      </c>
      <c r="AJ334" s="36">
        <f t="shared" si="382"/>
        <v>-1</v>
      </c>
      <c r="AK334" s="36">
        <f t="shared" si="383"/>
        <v>-1</v>
      </c>
      <c r="AL334" s="36"/>
      <c r="AM334" s="36" t="str">
        <f t="shared" si="404"/>
        <v/>
      </c>
      <c r="AN334" s="288" t="str">
        <f t="shared" si="384"/>
        <v/>
      </c>
      <c r="AO334" s="288" t="str">
        <f t="shared" si="385"/>
        <v/>
      </c>
      <c r="AP334" s="288" t="str">
        <f t="shared" si="386"/>
        <v/>
      </c>
      <c r="AQ334" s="36">
        <f t="shared" ref="AQ334:AS334" si="416">AQ333</f>
        <v>3.3793103448275866E-2</v>
      </c>
      <c r="AR334" s="36">
        <f t="shared" si="416"/>
        <v>5.9329425287356324E-2</v>
      </c>
      <c r="AS334" s="36">
        <f t="shared" si="416"/>
        <v>8.4865747126436797E-2</v>
      </c>
      <c r="AT334" s="288">
        <f t="shared" si="388"/>
        <v>0.11040206896551726</v>
      </c>
    </row>
    <row r="335" spans="2:46">
      <c r="B335" s="287"/>
      <c r="C335" s="707"/>
      <c r="D335" s="707"/>
      <c r="E335" s="707"/>
      <c r="F335" s="707"/>
      <c r="G335" s="707"/>
      <c r="H335" s="707"/>
      <c r="I335" s="707"/>
      <c r="J335" s="707"/>
      <c r="K335" s="707"/>
      <c r="L335" s="707"/>
      <c r="M335" s="707"/>
      <c r="N335" s="707"/>
      <c r="O335" s="707"/>
      <c r="P335" s="707"/>
      <c r="Q335" s="707"/>
      <c r="R335" s="707"/>
      <c r="S335" s="707"/>
      <c r="T335" s="707"/>
      <c r="U335" s="707"/>
      <c r="V335" s="707"/>
      <c r="W335" s="707"/>
      <c r="X335" s="707"/>
      <c r="Y335" s="707"/>
      <c r="Z335" s="707"/>
      <c r="AA335" s="36" t="str">
        <f t="shared" si="402"/>
        <v/>
      </c>
      <c r="AB335" s="288" t="str">
        <f t="shared" si="374"/>
        <v/>
      </c>
      <c r="AC335" s="288" t="str">
        <f t="shared" si="375"/>
        <v/>
      </c>
      <c r="AD335" s="288" t="str">
        <f t="shared" si="376"/>
        <v/>
      </c>
      <c r="AE335" s="288" t="str">
        <f t="shared" si="377"/>
        <v/>
      </c>
      <c r="AF335" s="288" t="str">
        <f t="shared" si="378"/>
        <v/>
      </c>
      <c r="AG335" s="288" t="str">
        <f t="shared" si="379"/>
        <v/>
      </c>
      <c r="AH335" s="288" t="str">
        <f t="shared" si="380"/>
        <v/>
      </c>
      <c r="AI335" s="36">
        <f t="shared" si="381"/>
        <v>-1</v>
      </c>
      <c r="AJ335" s="36">
        <f t="shared" si="382"/>
        <v>-1</v>
      </c>
      <c r="AK335" s="36">
        <f t="shared" si="383"/>
        <v>-1</v>
      </c>
      <c r="AL335" s="36"/>
      <c r="AM335" s="36" t="str">
        <f t="shared" si="404"/>
        <v/>
      </c>
      <c r="AN335" s="288" t="str">
        <f t="shared" si="384"/>
        <v/>
      </c>
      <c r="AO335" s="288" t="str">
        <f t="shared" si="385"/>
        <v/>
      </c>
      <c r="AP335" s="288" t="str">
        <f t="shared" si="386"/>
        <v/>
      </c>
      <c r="AQ335" s="36">
        <f t="shared" ref="AQ335:AS335" si="417">AQ334</f>
        <v>3.3793103448275866E-2</v>
      </c>
      <c r="AR335" s="36">
        <f t="shared" si="417"/>
        <v>5.9329425287356324E-2</v>
      </c>
      <c r="AS335" s="36">
        <f t="shared" si="417"/>
        <v>8.4865747126436797E-2</v>
      </c>
      <c r="AT335" s="288">
        <f t="shared" si="388"/>
        <v>0.11040206896551726</v>
      </c>
    </row>
    <row r="336" spans="2:46">
      <c r="B336" s="287"/>
      <c r="C336" s="707"/>
      <c r="D336" s="707"/>
      <c r="E336" s="707"/>
      <c r="F336" s="707"/>
      <c r="G336" s="707"/>
      <c r="H336" s="707"/>
      <c r="I336" s="707"/>
      <c r="J336" s="707"/>
      <c r="K336" s="707"/>
      <c r="L336" s="707"/>
      <c r="M336" s="707"/>
      <c r="N336" s="707"/>
      <c r="O336" s="707"/>
      <c r="P336" s="707"/>
      <c r="Q336" s="707"/>
      <c r="R336" s="707"/>
      <c r="S336" s="707"/>
      <c r="T336" s="707"/>
      <c r="U336" s="707"/>
      <c r="V336" s="707"/>
      <c r="W336" s="707"/>
      <c r="X336" s="707"/>
      <c r="Y336" s="707"/>
      <c r="Z336" s="707"/>
      <c r="AA336" s="36" t="str">
        <f t="shared" si="402"/>
        <v/>
      </c>
      <c r="AB336" s="288" t="str">
        <f t="shared" si="374"/>
        <v/>
      </c>
      <c r="AC336" s="288" t="str">
        <f t="shared" si="375"/>
        <v/>
      </c>
      <c r="AD336" s="288" t="str">
        <f t="shared" si="376"/>
        <v/>
      </c>
      <c r="AE336" s="288" t="str">
        <f t="shared" si="377"/>
        <v/>
      </c>
      <c r="AF336" s="288" t="str">
        <f t="shared" si="378"/>
        <v/>
      </c>
      <c r="AG336" s="288" t="str">
        <f t="shared" si="379"/>
        <v/>
      </c>
      <c r="AH336" s="288" t="str">
        <f t="shared" si="380"/>
        <v/>
      </c>
      <c r="AI336" s="36">
        <f t="shared" si="381"/>
        <v>-1</v>
      </c>
      <c r="AJ336" s="36">
        <f t="shared" si="382"/>
        <v>-1</v>
      </c>
      <c r="AK336" s="36">
        <f t="shared" si="383"/>
        <v>-1</v>
      </c>
      <c r="AL336" s="36"/>
      <c r="AM336" s="36" t="str">
        <f t="shared" si="404"/>
        <v/>
      </c>
      <c r="AN336" s="288" t="str">
        <f t="shared" si="384"/>
        <v/>
      </c>
      <c r="AO336" s="288" t="str">
        <f t="shared" si="385"/>
        <v/>
      </c>
      <c r="AP336" s="288" t="str">
        <f t="shared" si="386"/>
        <v/>
      </c>
      <c r="AQ336" s="36">
        <f t="shared" ref="AQ336:AS336" si="418">AQ335</f>
        <v>3.3793103448275866E-2</v>
      </c>
      <c r="AR336" s="36">
        <f t="shared" si="418"/>
        <v>5.9329425287356324E-2</v>
      </c>
      <c r="AS336" s="36">
        <f t="shared" si="418"/>
        <v>8.4865747126436797E-2</v>
      </c>
      <c r="AT336" s="288">
        <f t="shared" si="388"/>
        <v>0.11040206896551726</v>
      </c>
    </row>
    <row r="337" spans="2:46">
      <c r="B337" s="287"/>
      <c r="C337" s="707"/>
      <c r="D337" s="707"/>
      <c r="E337" s="707"/>
      <c r="F337" s="707"/>
      <c r="G337" s="707"/>
      <c r="H337" s="707"/>
      <c r="I337" s="707"/>
      <c r="J337" s="707"/>
      <c r="K337" s="707"/>
      <c r="L337" s="707"/>
      <c r="M337" s="707"/>
      <c r="N337" s="707"/>
      <c r="O337" s="707"/>
      <c r="P337" s="707"/>
      <c r="Q337" s="707"/>
      <c r="R337" s="707"/>
      <c r="S337" s="707"/>
      <c r="T337" s="707"/>
      <c r="U337" s="707"/>
      <c r="V337" s="707"/>
      <c r="W337" s="707"/>
      <c r="X337" s="707"/>
      <c r="Y337" s="707"/>
      <c r="Z337" s="707"/>
      <c r="AA337" s="36" t="str">
        <f t="shared" si="402"/>
        <v/>
      </c>
      <c r="AB337" s="288" t="str">
        <f t="shared" si="374"/>
        <v/>
      </c>
      <c r="AC337" s="288" t="str">
        <f t="shared" si="375"/>
        <v/>
      </c>
      <c r="AD337" s="288" t="str">
        <f t="shared" si="376"/>
        <v/>
      </c>
      <c r="AE337" s="288" t="str">
        <f t="shared" si="377"/>
        <v/>
      </c>
      <c r="AF337" s="288" t="str">
        <f t="shared" si="378"/>
        <v/>
      </c>
      <c r="AG337" s="288" t="str">
        <f t="shared" si="379"/>
        <v/>
      </c>
      <c r="AH337" s="288" t="str">
        <f t="shared" si="380"/>
        <v/>
      </c>
      <c r="AI337" s="36">
        <f t="shared" si="381"/>
        <v>-1</v>
      </c>
      <c r="AJ337" s="36">
        <f t="shared" si="382"/>
        <v>-1</v>
      </c>
      <c r="AK337" s="36">
        <f t="shared" si="383"/>
        <v>-1</v>
      </c>
      <c r="AL337" s="36"/>
      <c r="AM337" s="36" t="str">
        <f t="shared" si="404"/>
        <v/>
      </c>
      <c r="AN337" s="288" t="str">
        <f t="shared" si="384"/>
        <v/>
      </c>
      <c r="AO337" s="288" t="str">
        <f t="shared" si="385"/>
        <v/>
      </c>
      <c r="AP337" s="288" t="str">
        <f t="shared" si="386"/>
        <v/>
      </c>
      <c r="AQ337" s="36">
        <f t="shared" ref="AQ337:AS337" si="419">AQ336</f>
        <v>3.3793103448275866E-2</v>
      </c>
      <c r="AR337" s="36">
        <f t="shared" si="419"/>
        <v>5.9329425287356324E-2</v>
      </c>
      <c r="AS337" s="36">
        <f t="shared" si="419"/>
        <v>8.4865747126436797E-2</v>
      </c>
      <c r="AT337" s="288">
        <f t="shared" si="388"/>
        <v>0.11040206896551726</v>
      </c>
    </row>
    <row r="338" spans="2:46">
      <c r="B338" s="287"/>
      <c r="C338" s="707"/>
      <c r="D338" s="707"/>
      <c r="E338" s="707"/>
      <c r="F338" s="707"/>
      <c r="G338" s="707"/>
      <c r="H338" s="707"/>
      <c r="I338" s="707"/>
      <c r="J338" s="707"/>
      <c r="K338" s="707"/>
      <c r="L338" s="707"/>
      <c r="M338" s="707"/>
      <c r="N338" s="707"/>
      <c r="O338" s="707"/>
      <c r="P338" s="707"/>
      <c r="Q338" s="707"/>
      <c r="R338" s="707"/>
      <c r="S338" s="707"/>
      <c r="T338" s="707"/>
      <c r="U338" s="707"/>
      <c r="V338" s="707"/>
      <c r="W338" s="707"/>
      <c r="X338" s="707"/>
      <c r="Y338" s="707"/>
      <c r="Z338" s="707"/>
      <c r="AA338" s="36" t="str">
        <f t="shared" si="402"/>
        <v/>
      </c>
      <c r="AB338" s="288" t="str">
        <f t="shared" si="374"/>
        <v/>
      </c>
      <c r="AC338" s="288" t="str">
        <f t="shared" si="375"/>
        <v/>
      </c>
      <c r="AD338" s="288" t="str">
        <f t="shared" si="376"/>
        <v/>
      </c>
      <c r="AE338" s="288" t="str">
        <f t="shared" si="377"/>
        <v/>
      </c>
      <c r="AF338" s="288" t="str">
        <f t="shared" si="378"/>
        <v/>
      </c>
      <c r="AG338" s="288" t="str">
        <f t="shared" si="379"/>
        <v/>
      </c>
      <c r="AH338" s="288" t="str">
        <f t="shared" si="380"/>
        <v/>
      </c>
      <c r="AI338" s="36">
        <f t="shared" si="381"/>
        <v>-1</v>
      </c>
      <c r="AJ338" s="36">
        <f t="shared" si="382"/>
        <v>-1</v>
      </c>
      <c r="AK338" s="36">
        <f t="shared" si="383"/>
        <v>-1</v>
      </c>
      <c r="AL338" s="36"/>
      <c r="AM338" s="36" t="str">
        <f t="shared" si="404"/>
        <v/>
      </c>
      <c r="AN338" s="288" t="str">
        <f t="shared" si="384"/>
        <v/>
      </c>
      <c r="AO338" s="288" t="str">
        <f t="shared" si="385"/>
        <v/>
      </c>
      <c r="AP338" s="288" t="str">
        <f t="shared" si="386"/>
        <v/>
      </c>
      <c r="AQ338" s="36">
        <f t="shared" ref="AQ338:AS338" si="420">AQ337</f>
        <v>3.3793103448275866E-2</v>
      </c>
      <c r="AR338" s="36">
        <f t="shared" si="420"/>
        <v>5.9329425287356324E-2</v>
      </c>
      <c r="AS338" s="36">
        <f t="shared" si="420"/>
        <v>8.4865747126436797E-2</v>
      </c>
      <c r="AT338" s="288">
        <f t="shared" si="388"/>
        <v>0.11040206896551726</v>
      </c>
    </row>
    <row r="339" spans="2:46">
      <c r="B339" s="287"/>
      <c r="C339" s="707"/>
      <c r="D339" s="707"/>
      <c r="E339" s="707"/>
      <c r="F339" s="707"/>
      <c r="G339" s="707"/>
      <c r="H339" s="707"/>
      <c r="I339" s="707"/>
      <c r="J339" s="707"/>
      <c r="K339" s="707"/>
      <c r="L339" s="707"/>
      <c r="M339" s="707"/>
      <c r="N339" s="707"/>
      <c r="O339" s="707"/>
      <c r="P339" s="707"/>
      <c r="Q339" s="707"/>
      <c r="R339" s="707"/>
      <c r="S339" s="707"/>
      <c r="T339" s="707"/>
      <c r="U339" s="707"/>
      <c r="V339" s="707"/>
      <c r="W339" s="707"/>
      <c r="X339" s="707"/>
      <c r="Y339" s="707"/>
      <c r="Z339" s="707"/>
      <c r="AA339" s="36" t="str">
        <f t="shared" si="402"/>
        <v/>
      </c>
      <c r="AB339" s="288" t="str">
        <f t="shared" si="374"/>
        <v/>
      </c>
      <c r="AC339" s="288" t="str">
        <f t="shared" si="375"/>
        <v/>
      </c>
      <c r="AD339" s="288" t="str">
        <f t="shared" si="376"/>
        <v/>
      </c>
      <c r="AE339" s="288" t="str">
        <f t="shared" si="377"/>
        <v/>
      </c>
      <c r="AF339" s="288" t="str">
        <f t="shared" si="378"/>
        <v/>
      </c>
      <c r="AG339" s="288" t="str">
        <f t="shared" si="379"/>
        <v/>
      </c>
      <c r="AH339" s="288" t="str">
        <f t="shared" si="380"/>
        <v/>
      </c>
      <c r="AI339" s="36">
        <f t="shared" si="381"/>
        <v>-1</v>
      </c>
      <c r="AJ339" s="36">
        <f t="shared" si="382"/>
        <v>-1</v>
      </c>
      <c r="AK339" s="36">
        <f t="shared" si="383"/>
        <v>-1</v>
      </c>
      <c r="AL339" s="36"/>
      <c r="AM339" s="36" t="str">
        <f t="shared" si="404"/>
        <v/>
      </c>
      <c r="AN339" s="288" t="str">
        <f t="shared" si="384"/>
        <v/>
      </c>
      <c r="AO339" s="288" t="str">
        <f t="shared" si="385"/>
        <v/>
      </c>
      <c r="AP339" s="288" t="str">
        <f t="shared" si="386"/>
        <v/>
      </c>
      <c r="AQ339" s="36">
        <f t="shared" ref="AQ339:AS339" si="421">AQ338</f>
        <v>3.3793103448275866E-2</v>
      </c>
      <c r="AR339" s="36">
        <f t="shared" si="421"/>
        <v>5.9329425287356324E-2</v>
      </c>
      <c r="AS339" s="36">
        <f t="shared" si="421"/>
        <v>8.4865747126436797E-2</v>
      </c>
      <c r="AT339" s="288">
        <f t="shared" si="388"/>
        <v>0.11040206896551726</v>
      </c>
    </row>
    <row r="340" spans="2:46">
      <c r="B340" s="287"/>
      <c r="C340" s="707"/>
      <c r="D340" s="707"/>
      <c r="E340" s="707"/>
      <c r="F340" s="707"/>
      <c r="G340" s="707"/>
      <c r="H340" s="707"/>
      <c r="I340" s="707"/>
      <c r="J340" s="707"/>
      <c r="K340" s="707"/>
      <c r="L340" s="707"/>
      <c r="M340" s="707"/>
      <c r="N340" s="707"/>
      <c r="O340" s="707"/>
      <c r="P340" s="707"/>
      <c r="Q340" s="707"/>
      <c r="R340" s="707"/>
      <c r="S340" s="707"/>
      <c r="T340" s="707"/>
      <c r="U340" s="707"/>
      <c r="V340" s="707"/>
      <c r="W340" s="707"/>
      <c r="X340" s="707"/>
      <c r="Y340" s="707"/>
      <c r="Z340" s="707"/>
      <c r="AA340" s="36" t="str">
        <f t="shared" si="402"/>
        <v/>
      </c>
      <c r="AB340" s="288" t="str">
        <f t="shared" si="374"/>
        <v/>
      </c>
      <c r="AC340" s="288" t="str">
        <f t="shared" si="375"/>
        <v/>
      </c>
      <c r="AD340" s="288" t="str">
        <f t="shared" si="376"/>
        <v/>
      </c>
      <c r="AE340" s="288" t="str">
        <f t="shared" si="377"/>
        <v/>
      </c>
      <c r="AF340" s="288" t="str">
        <f t="shared" si="378"/>
        <v/>
      </c>
      <c r="AG340" s="288" t="str">
        <f t="shared" si="379"/>
        <v/>
      </c>
      <c r="AH340" s="288" t="str">
        <f t="shared" si="380"/>
        <v/>
      </c>
      <c r="AI340" s="36">
        <f t="shared" si="381"/>
        <v>-1</v>
      </c>
      <c r="AJ340" s="36">
        <f t="shared" si="382"/>
        <v>-1</v>
      </c>
      <c r="AK340" s="36">
        <f t="shared" si="383"/>
        <v>-1</v>
      </c>
      <c r="AL340" s="36"/>
      <c r="AM340" s="36" t="str">
        <f t="shared" si="404"/>
        <v/>
      </c>
      <c r="AN340" s="288" t="str">
        <f t="shared" si="384"/>
        <v/>
      </c>
      <c r="AO340" s="288" t="str">
        <f t="shared" si="385"/>
        <v/>
      </c>
      <c r="AP340" s="288" t="str">
        <f t="shared" si="386"/>
        <v/>
      </c>
      <c r="AQ340" s="36">
        <f t="shared" ref="AQ340:AS340" si="422">AQ339</f>
        <v>3.3793103448275866E-2</v>
      </c>
      <c r="AR340" s="36">
        <f t="shared" si="422"/>
        <v>5.9329425287356324E-2</v>
      </c>
      <c r="AS340" s="36">
        <f t="shared" si="422"/>
        <v>8.4865747126436797E-2</v>
      </c>
      <c r="AT340" s="288">
        <f t="shared" si="388"/>
        <v>0.11040206896551726</v>
      </c>
    </row>
    <row r="341" spans="2:46">
      <c r="B341" s="287"/>
      <c r="C341" s="707"/>
      <c r="D341" s="707"/>
      <c r="E341" s="707"/>
      <c r="F341" s="707"/>
      <c r="G341" s="707"/>
      <c r="H341" s="707"/>
      <c r="I341" s="707"/>
      <c r="J341" s="707"/>
      <c r="K341" s="707"/>
      <c r="L341" s="707"/>
      <c r="M341" s="707"/>
      <c r="N341" s="707"/>
      <c r="O341" s="707"/>
      <c r="P341" s="707"/>
      <c r="Q341" s="707"/>
      <c r="R341" s="707"/>
      <c r="S341" s="707"/>
      <c r="T341" s="707"/>
      <c r="U341" s="707"/>
      <c r="V341" s="707"/>
      <c r="W341" s="707"/>
      <c r="X341" s="707"/>
      <c r="Y341" s="707"/>
      <c r="Z341" s="707"/>
      <c r="AA341" s="36" t="str">
        <f t="shared" si="402"/>
        <v/>
      </c>
      <c r="AB341" s="288" t="str">
        <f t="shared" si="374"/>
        <v/>
      </c>
      <c r="AC341" s="288" t="str">
        <f t="shared" si="375"/>
        <v/>
      </c>
      <c r="AD341" s="288" t="str">
        <f t="shared" si="376"/>
        <v/>
      </c>
      <c r="AE341" s="288" t="str">
        <f t="shared" si="377"/>
        <v/>
      </c>
      <c r="AF341" s="288" t="str">
        <f t="shared" si="378"/>
        <v/>
      </c>
      <c r="AG341" s="288" t="str">
        <f t="shared" si="379"/>
        <v/>
      </c>
      <c r="AH341" s="288" t="str">
        <f t="shared" si="380"/>
        <v/>
      </c>
      <c r="AI341" s="36">
        <f t="shared" si="381"/>
        <v>-1</v>
      </c>
      <c r="AJ341" s="36">
        <f t="shared" si="382"/>
        <v>-1</v>
      </c>
      <c r="AK341" s="36">
        <f t="shared" si="383"/>
        <v>-1</v>
      </c>
      <c r="AL341" s="36"/>
      <c r="AM341" s="36" t="str">
        <f t="shared" si="404"/>
        <v/>
      </c>
      <c r="AN341" s="288" t="str">
        <f t="shared" si="384"/>
        <v/>
      </c>
      <c r="AO341" s="288" t="str">
        <f t="shared" si="385"/>
        <v/>
      </c>
      <c r="AP341" s="288" t="str">
        <f t="shared" si="386"/>
        <v/>
      </c>
      <c r="AQ341" s="36">
        <f t="shared" ref="AQ341:AS341" si="423">AQ340</f>
        <v>3.3793103448275866E-2</v>
      </c>
      <c r="AR341" s="36">
        <f t="shared" si="423"/>
        <v>5.9329425287356324E-2</v>
      </c>
      <c r="AS341" s="36">
        <f t="shared" si="423"/>
        <v>8.4865747126436797E-2</v>
      </c>
      <c r="AT341" s="288">
        <f t="shared" si="388"/>
        <v>0.11040206896551726</v>
      </c>
    </row>
    <row r="342" spans="2:46">
      <c r="B342" s="287"/>
      <c r="C342" s="707"/>
      <c r="D342" s="707"/>
      <c r="E342" s="707"/>
      <c r="F342" s="707"/>
      <c r="G342" s="707"/>
      <c r="H342" s="707"/>
      <c r="I342" s="707"/>
      <c r="J342" s="707"/>
      <c r="K342" s="707"/>
      <c r="L342" s="707"/>
      <c r="M342" s="707"/>
      <c r="N342" s="707"/>
      <c r="O342" s="707"/>
      <c r="P342" s="707"/>
      <c r="Q342" s="707"/>
      <c r="R342" s="707"/>
      <c r="S342" s="707"/>
      <c r="T342" s="707"/>
      <c r="U342" s="707"/>
      <c r="V342" s="707"/>
      <c r="W342" s="707"/>
      <c r="X342" s="707"/>
      <c r="Y342" s="707"/>
      <c r="Z342" s="707"/>
      <c r="AA342" s="36" t="str">
        <f t="shared" si="402"/>
        <v/>
      </c>
      <c r="AB342" s="288" t="str">
        <f t="shared" si="374"/>
        <v/>
      </c>
      <c r="AC342" s="288" t="str">
        <f t="shared" si="375"/>
        <v/>
      </c>
      <c r="AD342" s="288" t="str">
        <f t="shared" si="376"/>
        <v/>
      </c>
      <c r="AE342" s="288" t="str">
        <f t="shared" si="377"/>
        <v/>
      </c>
      <c r="AF342" s="288" t="str">
        <f t="shared" si="378"/>
        <v/>
      </c>
      <c r="AG342" s="288" t="str">
        <f t="shared" si="379"/>
        <v/>
      </c>
      <c r="AH342" s="288" t="str">
        <f t="shared" si="380"/>
        <v/>
      </c>
      <c r="AI342" s="36">
        <f t="shared" si="381"/>
        <v>-1</v>
      </c>
      <c r="AJ342" s="36">
        <f t="shared" si="382"/>
        <v>-1</v>
      </c>
      <c r="AK342" s="36">
        <f t="shared" si="383"/>
        <v>-1</v>
      </c>
      <c r="AL342" s="36"/>
      <c r="AM342" s="36" t="str">
        <f t="shared" si="404"/>
        <v/>
      </c>
      <c r="AN342" s="288" t="str">
        <f t="shared" si="384"/>
        <v/>
      </c>
      <c r="AO342" s="288" t="str">
        <f t="shared" si="385"/>
        <v/>
      </c>
      <c r="AP342" s="288" t="str">
        <f t="shared" si="386"/>
        <v/>
      </c>
      <c r="AQ342" s="36">
        <f t="shared" ref="AQ342:AS342" si="424">AQ341</f>
        <v>3.3793103448275866E-2</v>
      </c>
      <c r="AR342" s="36">
        <f t="shared" si="424"/>
        <v>5.9329425287356324E-2</v>
      </c>
      <c r="AS342" s="36">
        <f t="shared" si="424"/>
        <v>8.4865747126436797E-2</v>
      </c>
      <c r="AT342" s="288">
        <f t="shared" si="388"/>
        <v>0.11040206896551726</v>
      </c>
    </row>
    <row r="343" spans="2:46">
      <c r="B343" s="287"/>
      <c r="C343" s="707"/>
      <c r="D343" s="707"/>
      <c r="E343" s="707"/>
      <c r="F343" s="707"/>
      <c r="G343" s="707"/>
      <c r="H343" s="707"/>
      <c r="I343" s="707"/>
      <c r="J343" s="707"/>
      <c r="K343" s="707"/>
      <c r="L343" s="707"/>
      <c r="M343" s="707"/>
      <c r="N343" s="707"/>
      <c r="O343" s="707"/>
      <c r="P343" s="707"/>
      <c r="Q343" s="707"/>
      <c r="R343" s="707"/>
      <c r="S343" s="707"/>
      <c r="T343" s="707"/>
      <c r="U343" s="707"/>
      <c r="V343" s="707"/>
      <c r="W343" s="707"/>
      <c r="X343" s="707"/>
      <c r="Y343" s="707"/>
      <c r="Z343" s="707"/>
      <c r="AA343" s="36" t="str">
        <f t="shared" si="402"/>
        <v/>
      </c>
      <c r="AB343" s="288" t="str">
        <f t="shared" si="374"/>
        <v/>
      </c>
      <c r="AC343" s="288" t="str">
        <f t="shared" si="375"/>
        <v/>
      </c>
      <c r="AD343" s="288" t="str">
        <f t="shared" si="376"/>
        <v/>
      </c>
      <c r="AE343" s="288" t="str">
        <f t="shared" si="377"/>
        <v/>
      </c>
      <c r="AF343" s="288" t="str">
        <f t="shared" si="378"/>
        <v/>
      </c>
      <c r="AG343" s="288" t="str">
        <f t="shared" si="379"/>
        <v/>
      </c>
      <c r="AH343" s="288" t="str">
        <f t="shared" si="380"/>
        <v/>
      </c>
      <c r="AI343" s="36">
        <f t="shared" si="381"/>
        <v>-1</v>
      </c>
      <c r="AJ343" s="36">
        <f t="shared" si="382"/>
        <v>-1</v>
      </c>
      <c r="AK343" s="36">
        <f t="shared" si="383"/>
        <v>-1</v>
      </c>
      <c r="AL343" s="36"/>
      <c r="AM343" s="36" t="str">
        <f t="shared" si="404"/>
        <v/>
      </c>
      <c r="AN343" s="288" t="str">
        <f t="shared" si="384"/>
        <v/>
      </c>
      <c r="AO343" s="288" t="str">
        <f t="shared" si="385"/>
        <v/>
      </c>
      <c r="AP343" s="288" t="str">
        <f t="shared" si="386"/>
        <v/>
      </c>
      <c r="AQ343" s="36">
        <f t="shared" ref="AQ343:AS343" si="425">AQ342</f>
        <v>3.3793103448275866E-2</v>
      </c>
      <c r="AR343" s="36">
        <f t="shared" si="425"/>
        <v>5.9329425287356324E-2</v>
      </c>
      <c r="AS343" s="36">
        <f t="shared" si="425"/>
        <v>8.4865747126436797E-2</v>
      </c>
      <c r="AT343" s="288">
        <f t="shared" si="388"/>
        <v>0.11040206896551726</v>
      </c>
    </row>
    <row r="344" spans="2:46">
      <c r="B344" s="287"/>
      <c r="C344" s="707"/>
      <c r="D344" s="707"/>
      <c r="E344" s="707"/>
      <c r="F344" s="707"/>
      <c r="G344" s="707"/>
      <c r="H344" s="707"/>
      <c r="I344" s="707"/>
      <c r="J344" s="707"/>
      <c r="K344" s="707"/>
      <c r="L344" s="707"/>
      <c r="M344" s="707"/>
      <c r="N344" s="707"/>
      <c r="O344" s="707"/>
      <c r="P344" s="707"/>
      <c r="Q344" s="707"/>
      <c r="R344" s="707"/>
      <c r="S344" s="707"/>
      <c r="T344" s="707"/>
      <c r="U344" s="707"/>
      <c r="V344" s="707"/>
      <c r="W344" s="707"/>
      <c r="X344" s="707"/>
      <c r="Y344" s="707"/>
      <c r="Z344" s="707"/>
      <c r="AA344" s="36" t="str">
        <f t="shared" si="402"/>
        <v/>
      </c>
      <c r="AB344" s="288" t="str">
        <f t="shared" si="374"/>
        <v/>
      </c>
      <c r="AC344" s="288" t="str">
        <f t="shared" si="375"/>
        <v/>
      </c>
      <c r="AD344" s="288" t="str">
        <f t="shared" si="376"/>
        <v/>
      </c>
      <c r="AE344" s="288" t="str">
        <f t="shared" si="377"/>
        <v/>
      </c>
      <c r="AF344" s="288" t="str">
        <f t="shared" si="378"/>
        <v/>
      </c>
      <c r="AG344" s="288" t="str">
        <f t="shared" si="379"/>
        <v/>
      </c>
      <c r="AH344" s="288" t="str">
        <f t="shared" si="380"/>
        <v/>
      </c>
      <c r="AI344" s="36">
        <f t="shared" si="381"/>
        <v>-1</v>
      </c>
      <c r="AJ344" s="36">
        <f t="shared" si="382"/>
        <v>-1</v>
      </c>
      <c r="AK344" s="36">
        <f t="shared" si="383"/>
        <v>-1</v>
      </c>
      <c r="AL344" s="36"/>
      <c r="AM344" s="36" t="str">
        <f t="shared" si="404"/>
        <v/>
      </c>
      <c r="AN344" s="288" t="str">
        <f t="shared" si="384"/>
        <v/>
      </c>
      <c r="AO344" s="288" t="str">
        <f t="shared" si="385"/>
        <v/>
      </c>
      <c r="AP344" s="288" t="str">
        <f t="shared" si="386"/>
        <v/>
      </c>
      <c r="AQ344" s="36">
        <f t="shared" ref="AQ344:AS344" si="426">AQ343</f>
        <v>3.3793103448275866E-2</v>
      </c>
      <c r="AR344" s="36">
        <f t="shared" si="426"/>
        <v>5.9329425287356324E-2</v>
      </c>
      <c r="AS344" s="36">
        <f t="shared" si="426"/>
        <v>8.4865747126436797E-2</v>
      </c>
      <c r="AT344" s="288">
        <f t="shared" si="388"/>
        <v>0.11040206896551726</v>
      </c>
    </row>
    <row r="345" spans="2:46">
      <c r="B345" s="287"/>
      <c r="C345" s="707"/>
      <c r="D345" s="707"/>
      <c r="E345" s="707"/>
      <c r="F345" s="707"/>
      <c r="G345" s="707"/>
      <c r="H345" s="707"/>
      <c r="I345" s="707"/>
      <c r="J345" s="707"/>
      <c r="K345" s="707"/>
      <c r="L345" s="707"/>
      <c r="M345" s="707"/>
      <c r="N345" s="707"/>
      <c r="O345" s="707"/>
      <c r="P345" s="707"/>
      <c r="Q345" s="707"/>
      <c r="R345" s="707"/>
      <c r="S345" s="707"/>
      <c r="T345" s="707"/>
      <c r="U345" s="707"/>
      <c r="V345" s="707"/>
      <c r="W345" s="707"/>
      <c r="X345" s="707"/>
      <c r="Y345" s="707"/>
      <c r="Z345" s="707"/>
      <c r="AA345" s="36" t="str">
        <f t="shared" si="402"/>
        <v/>
      </c>
      <c r="AB345" s="288" t="str">
        <f t="shared" si="374"/>
        <v/>
      </c>
      <c r="AC345" s="288" t="str">
        <f t="shared" si="375"/>
        <v/>
      </c>
      <c r="AD345" s="288" t="str">
        <f t="shared" si="376"/>
        <v/>
      </c>
      <c r="AE345" s="288" t="str">
        <f t="shared" si="377"/>
        <v/>
      </c>
      <c r="AF345" s="288" t="str">
        <f t="shared" si="378"/>
        <v/>
      </c>
      <c r="AG345" s="288" t="str">
        <f t="shared" si="379"/>
        <v/>
      </c>
      <c r="AH345" s="288" t="str">
        <f t="shared" si="380"/>
        <v/>
      </c>
      <c r="AI345" s="36">
        <f t="shared" si="381"/>
        <v>-1</v>
      </c>
      <c r="AJ345" s="36">
        <f t="shared" si="382"/>
        <v>-1</v>
      </c>
      <c r="AK345" s="36">
        <f t="shared" si="383"/>
        <v>-1</v>
      </c>
      <c r="AL345" s="36"/>
      <c r="AM345" s="36" t="str">
        <f t="shared" si="404"/>
        <v/>
      </c>
      <c r="AN345" s="288" t="str">
        <f t="shared" si="384"/>
        <v/>
      </c>
      <c r="AO345" s="288" t="str">
        <f t="shared" si="385"/>
        <v/>
      </c>
      <c r="AP345" s="288" t="str">
        <f t="shared" si="386"/>
        <v/>
      </c>
      <c r="AQ345" s="36">
        <f t="shared" ref="AQ345:AS345" si="427">AQ344</f>
        <v>3.3793103448275866E-2</v>
      </c>
      <c r="AR345" s="36">
        <f t="shared" si="427"/>
        <v>5.9329425287356324E-2</v>
      </c>
      <c r="AS345" s="36">
        <f t="shared" si="427"/>
        <v>8.4865747126436797E-2</v>
      </c>
      <c r="AT345" s="288">
        <f t="shared" si="388"/>
        <v>0.11040206896551726</v>
      </c>
    </row>
    <row r="346" spans="2:46">
      <c r="B346" s="287"/>
      <c r="C346" s="707"/>
      <c r="D346" s="707"/>
      <c r="E346" s="707"/>
      <c r="F346" s="707"/>
      <c r="G346" s="707"/>
      <c r="H346" s="707"/>
      <c r="I346" s="707"/>
      <c r="J346" s="707"/>
      <c r="K346" s="707"/>
      <c r="L346" s="707"/>
      <c r="M346" s="707"/>
      <c r="N346" s="707"/>
      <c r="O346" s="707"/>
      <c r="P346" s="707"/>
      <c r="Q346" s="707"/>
      <c r="R346" s="707"/>
      <c r="S346" s="707"/>
      <c r="T346" s="707"/>
      <c r="U346" s="707"/>
      <c r="V346" s="707"/>
      <c r="W346" s="707"/>
      <c r="X346" s="707"/>
      <c r="Y346" s="707"/>
      <c r="Z346" s="707"/>
      <c r="AA346" s="36" t="str">
        <f t="shared" si="402"/>
        <v/>
      </c>
      <c r="AB346" s="288" t="str">
        <f t="shared" si="374"/>
        <v/>
      </c>
      <c r="AC346" s="288" t="str">
        <f t="shared" si="375"/>
        <v/>
      </c>
      <c r="AD346" s="288" t="str">
        <f t="shared" si="376"/>
        <v/>
      </c>
      <c r="AE346" s="288" t="str">
        <f t="shared" si="377"/>
        <v/>
      </c>
      <c r="AF346" s="288" t="str">
        <f t="shared" si="378"/>
        <v/>
      </c>
      <c r="AG346" s="288" t="str">
        <f t="shared" si="379"/>
        <v/>
      </c>
      <c r="AH346" s="288" t="str">
        <f t="shared" si="380"/>
        <v/>
      </c>
      <c r="AI346" s="36">
        <f t="shared" si="381"/>
        <v>-1</v>
      </c>
      <c r="AJ346" s="36">
        <f t="shared" si="382"/>
        <v>-1</v>
      </c>
      <c r="AK346" s="36">
        <f t="shared" si="383"/>
        <v>-1</v>
      </c>
      <c r="AL346" s="36"/>
      <c r="AM346" s="36" t="str">
        <f t="shared" si="404"/>
        <v/>
      </c>
      <c r="AN346" s="288" t="str">
        <f t="shared" si="384"/>
        <v/>
      </c>
      <c r="AO346" s="288" t="str">
        <f t="shared" si="385"/>
        <v/>
      </c>
      <c r="AP346" s="288" t="str">
        <f t="shared" si="386"/>
        <v/>
      </c>
      <c r="AQ346" s="36">
        <f t="shared" ref="AQ346:AS346" si="428">AQ345</f>
        <v>3.3793103448275866E-2</v>
      </c>
      <c r="AR346" s="36">
        <f t="shared" si="428"/>
        <v>5.9329425287356324E-2</v>
      </c>
      <c r="AS346" s="36">
        <f t="shared" si="428"/>
        <v>8.4865747126436797E-2</v>
      </c>
      <c r="AT346" s="288">
        <f t="shared" si="388"/>
        <v>0.11040206896551726</v>
      </c>
    </row>
    <row r="347" spans="2:46">
      <c r="B347" s="287"/>
      <c r="C347" s="707"/>
      <c r="D347" s="707"/>
      <c r="E347" s="707"/>
      <c r="F347" s="707"/>
      <c r="G347" s="707"/>
      <c r="H347" s="707"/>
      <c r="I347" s="707"/>
      <c r="J347" s="707"/>
      <c r="K347" s="707"/>
      <c r="L347" s="707"/>
      <c r="M347" s="707"/>
      <c r="N347" s="707"/>
      <c r="O347" s="707"/>
      <c r="P347" s="707"/>
      <c r="Q347" s="707"/>
      <c r="R347" s="707"/>
      <c r="S347" s="707"/>
      <c r="T347" s="707"/>
      <c r="U347" s="707"/>
      <c r="V347" s="707"/>
      <c r="W347" s="707"/>
      <c r="X347" s="707"/>
      <c r="Y347" s="707"/>
      <c r="Z347" s="707"/>
      <c r="AA347" s="36" t="str">
        <f t="shared" si="402"/>
        <v/>
      </c>
      <c r="AB347" s="288" t="str">
        <f t="shared" si="374"/>
        <v/>
      </c>
      <c r="AC347" s="288" t="str">
        <f t="shared" si="375"/>
        <v/>
      </c>
      <c r="AD347" s="288" t="str">
        <f t="shared" si="376"/>
        <v/>
      </c>
      <c r="AE347" s="288" t="str">
        <f t="shared" si="377"/>
        <v/>
      </c>
      <c r="AF347" s="288" t="str">
        <f t="shared" si="378"/>
        <v/>
      </c>
      <c r="AG347" s="288" t="str">
        <f t="shared" si="379"/>
        <v/>
      </c>
      <c r="AH347" s="288" t="str">
        <f t="shared" si="380"/>
        <v/>
      </c>
      <c r="AI347" s="36">
        <f t="shared" si="381"/>
        <v>-1</v>
      </c>
      <c r="AJ347" s="36">
        <f t="shared" si="382"/>
        <v>-1</v>
      </c>
      <c r="AK347" s="36">
        <f t="shared" si="383"/>
        <v>-1</v>
      </c>
      <c r="AL347" s="36"/>
      <c r="AM347" s="36" t="str">
        <f t="shared" si="404"/>
        <v/>
      </c>
      <c r="AN347" s="288" t="str">
        <f t="shared" si="384"/>
        <v/>
      </c>
      <c r="AO347" s="288" t="str">
        <f t="shared" si="385"/>
        <v/>
      </c>
      <c r="AP347" s="288" t="str">
        <f t="shared" si="386"/>
        <v/>
      </c>
      <c r="AQ347" s="36">
        <f t="shared" ref="AQ347:AS347" si="429">AQ346</f>
        <v>3.3793103448275866E-2</v>
      </c>
      <c r="AR347" s="36">
        <f t="shared" si="429"/>
        <v>5.9329425287356324E-2</v>
      </c>
      <c r="AS347" s="36">
        <f t="shared" si="429"/>
        <v>8.4865747126436797E-2</v>
      </c>
      <c r="AT347" s="288">
        <f t="shared" si="388"/>
        <v>0.11040206896551726</v>
      </c>
    </row>
    <row r="348" spans="2:46">
      <c r="B348" s="287"/>
      <c r="C348" s="707"/>
      <c r="D348" s="707"/>
      <c r="E348" s="707"/>
      <c r="F348" s="707"/>
      <c r="G348" s="707"/>
      <c r="H348" s="707"/>
      <c r="I348" s="707"/>
      <c r="J348" s="707"/>
      <c r="K348" s="707"/>
      <c r="L348" s="707"/>
      <c r="M348" s="707"/>
      <c r="N348" s="707"/>
      <c r="O348" s="707"/>
      <c r="P348" s="707"/>
      <c r="Q348" s="707"/>
      <c r="R348" s="707"/>
      <c r="S348" s="707"/>
      <c r="T348" s="707"/>
      <c r="U348" s="707"/>
      <c r="V348" s="707"/>
      <c r="W348" s="707"/>
      <c r="X348" s="707"/>
      <c r="Y348" s="707"/>
      <c r="Z348" s="707"/>
      <c r="AA348" s="36" t="str">
        <f t="shared" si="402"/>
        <v/>
      </c>
      <c r="AB348" s="288" t="str">
        <f t="shared" si="374"/>
        <v/>
      </c>
      <c r="AC348" s="288" t="str">
        <f t="shared" si="375"/>
        <v/>
      </c>
      <c r="AD348" s="288" t="str">
        <f t="shared" si="376"/>
        <v/>
      </c>
      <c r="AE348" s="288" t="str">
        <f t="shared" si="377"/>
        <v/>
      </c>
      <c r="AF348" s="288" t="str">
        <f t="shared" si="378"/>
        <v/>
      </c>
      <c r="AG348" s="288" t="str">
        <f t="shared" si="379"/>
        <v/>
      </c>
      <c r="AH348" s="288" t="str">
        <f t="shared" si="380"/>
        <v/>
      </c>
      <c r="AI348" s="36">
        <f t="shared" si="381"/>
        <v>-1</v>
      </c>
      <c r="AJ348" s="36">
        <f t="shared" si="382"/>
        <v>-1</v>
      </c>
      <c r="AK348" s="36">
        <f t="shared" si="383"/>
        <v>-1</v>
      </c>
      <c r="AL348" s="36"/>
      <c r="AM348" s="36" t="str">
        <f t="shared" si="404"/>
        <v/>
      </c>
      <c r="AN348" s="288" t="str">
        <f t="shared" si="384"/>
        <v/>
      </c>
      <c r="AO348" s="288" t="str">
        <f t="shared" si="385"/>
        <v/>
      </c>
      <c r="AP348" s="288" t="str">
        <f t="shared" si="386"/>
        <v/>
      </c>
      <c r="AQ348" s="36">
        <f t="shared" ref="AQ348:AS348" si="430">AQ347</f>
        <v>3.3793103448275866E-2</v>
      </c>
      <c r="AR348" s="36">
        <f t="shared" si="430"/>
        <v>5.9329425287356324E-2</v>
      </c>
      <c r="AS348" s="36">
        <f t="shared" si="430"/>
        <v>8.4865747126436797E-2</v>
      </c>
      <c r="AT348" s="288">
        <f t="shared" si="388"/>
        <v>0.11040206896551726</v>
      </c>
    </row>
    <row r="349" spans="2:46">
      <c r="B349" s="287"/>
      <c r="C349" s="707"/>
      <c r="D349" s="707"/>
      <c r="E349" s="707"/>
      <c r="F349" s="707"/>
      <c r="G349" s="707"/>
      <c r="H349" s="707"/>
      <c r="I349" s="707"/>
      <c r="J349" s="707"/>
      <c r="K349" s="707"/>
      <c r="L349" s="707"/>
      <c r="M349" s="707"/>
      <c r="N349" s="707"/>
      <c r="O349" s="707"/>
      <c r="P349" s="707"/>
      <c r="Q349" s="707"/>
      <c r="R349" s="707"/>
      <c r="S349" s="707"/>
      <c r="T349" s="707"/>
      <c r="U349" s="707"/>
      <c r="V349" s="707"/>
      <c r="W349" s="707"/>
      <c r="X349" s="707"/>
      <c r="Y349" s="707"/>
      <c r="Z349" s="707"/>
      <c r="AA349" s="36" t="str">
        <f t="shared" si="402"/>
        <v/>
      </c>
      <c r="AB349" s="288" t="str">
        <f t="shared" si="374"/>
        <v/>
      </c>
      <c r="AC349" s="288" t="str">
        <f t="shared" si="375"/>
        <v/>
      </c>
      <c r="AD349" s="288" t="str">
        <f t="shared" si="376"/>
        <v/>
      </c>
      <c r="AE349" s="288" t="str">
        <f t="shared" si="377"/>
        <v/>
      </c>
      <c r="AF349" s="288" t="str">
        <f t="shared" si="378"/>
        <v/>
      </c>
      <c r="AG349" s="288" t="str">
        <f t="shared" si="379"/>
        <v/>
      </c>
      <c r="AH349" s="288" t="str">
        <f t="shared" si="380"/>
        <v/>
      </c>
      <c r="AI349" s="36">
        <f t="shared" si="381"/>
        <v>-1</v>
      </c>
      <c r="AJ349" s="36">
        <f t="shared" si="382"/>
        <v>-1</v>
      </c>
      <c r="AK349" s="36">
        <f t="shared" si="383"/>
        <v>-1</v>
      </c>
      <c r="AL349" s="36"/>
      <c r="AM349" s="36" t="str">
        <f t="shared" si="404"/>
        <v/>
      </c>
      <c r="AN349" s="288" t="str">
        <f t="shared" si="384"/>
        <v/>
      </c>
      <c r="AO349" s="288" t="str">
        <f t="shared" si="385"/>
        <v/>
      </c>
      <c r="AP349" s="288" t="str">
        <f t="shared" si="386"/>
        <v/>
      </c>
      <c r="AQ349" s="36">
        <f t="shared" ref="AQ349:AS349" si="431">AQ348</f>
        <v>3.3793103448275866E-2</v>
      </c>
      <c r="AR349" s="36">
        <f t="shared" si="431"/>
        <v>5.9329425287356324E-2</v>
      </c>
      <c r="AS349" s="36">
        <f t="shared" si="431"/>
        <v>8.4865747126436797E-2</v>
      </c>
      <c r="AT349" s="288">
        <f t="shared" si="388"/>
        <v>0.11040206896551726</v>
      </c>
    </row>
    <row r="350" spans="2:46">
      <c r="B350" s="287"/>
      <c r="C350" s="707"/>
      <c r="D350" s="707"/>
      <c r="E350" s="707"/>
      <c r="F350" s="707"/>
      <c r="G350" s="707"/>
      <c r="H350" s="707"/>
      <c r="I350" s="707"/>
      <c r="J350" s="707"/>
      <c r="K350" s="707"/>
      <c r="L350" s="707"/>
      <c r="M350" s="707"/>
      <c r="N350" s="707"/>
      <c r="O350" s="707"/>
      <c r="P350" s="707"/>
      <c r="Q350" s="707"/>
      <c r="R350" s="707"/>
      <c r="S350" s="707"/>
      <c r="T350" s="707"/>
      <c r="U350" s="707"/>
      <c r="V350" s="707"/>
      <c r="W350" s="707"/>
      <c r="X350" s="707"/>
      <c r="Y350" s="707"/>
      <c r="Z350" s="707"/>
      <c r="AA350" s="36" t="str">
        <f t="shared" si="402"/>
        <v/>
      </c>
      <c r="AB350" s="288" t="str">
        <f t="shared" si="374"/>
        <v/>
      </c>
      <c r="AC350" s="288" t="str">
        <f t="shared" si="375"/>
        <v/>
      </c>
      <c r="AD350" s="288" t="str">
        <f t="shared" si="376"/>
        <v/>
      </c>
      <c r="AE350" s="288" t="str">
        <f t="shared" si="377"/>
        <v/>
      </c>
      <c r="AF350" s="288" t="str">
        <f t="shared" si="378"/>
        <v/>
      </c>
      <c r="AG350" s="288" t="str">
        <f t="shared" si="379"/>
        <v/>
      </c>
      <c r="AH350" s="288" t="str">
        <f t="shared" si="380"/>
        <v/>
      </c>
      <c r="AI350" s="36">
        <f t="shared" si="381"/>
        <v>-1</v>
      </c>
      <c r="AJ350" s="36">
        <f t="shared" si="382"/>
        <v>-1</v>
      </c>
      <c r="AK350" s="36">
        <f t="shared" si="383"/>
        <v>-1</v>
      </c>
      <c r="AL350" s="36"/>
      <c r="AM350" s="36" t="str">
        <f t="shared" si="404"/>
        <v/>
      </c>
      <c r="AN350" s="288" t="str">
        <f t="shared" si="384"/>
        <v/>
      </c>
      <c r="AO350" s="288" t="str">
        <f t="shared" si="385"/>
        <v/>
      </c>
      <c r="AP350" s="288" t="str">
        <f t="shared" si="386"/>
        <v/>
      </c>
      <c r="AQ350" s="36">
        <f t="shared" ref="AQ350:AS350" si="432">AQ349</f>
        <v>3.3793103448275866E-2</v>
      </c>
      <c r="AR350" s="36">
        <f t="shared" si="432"/>
        <v>5.9329425287356324E-2</v>
      </c>
      <c r="AS350" s="36">
        <f t="shared" si="432"/>
        <v>8.4865747126436797E-2</v>
      </c>
      <c r="AT350" s="288">
        <f t="shared" si="388"/>
        <v>0.11040206896551726</v>
      </c>
    </row>
    <row r="351" spans="2:46">
      <c r="B351" s="287"/>
      <c r="C351" s="707"/>
      <c r="D351" s="707"/>
      <c r="E351" s="707"/>
      <c r="F351" s="707"/>
      <c r="G351" s="707"/>
      <c r="H351" s="707"/>
      <c r="I351" s="707"/>
      <c r="J351" s="707"/>
      <c r="K351" s="707"/>
      <c r="L351" s="707"/>
      <c r="M351" s="707"/>
      <c r="N351" s="707"/>
      <c r="O351" s="707"/>
      <c r="P351" s="707"/>
      <c r="Q351" s="707"/>
      <c r="R351" s="707"/>
      <c r="S351" s="707"/>
      <c r="T351" s="707"/>
      <c r="U351" s="707"/>
      <c r="V351" s="707"/>
      <c r="W351" s="707"/>
      <c r="X351" s="707"/>
      <c r="Y351" s="707"/>
      <c r="Z351" s="707"/>
      <c r="AA351" s="36" t="str">
        <f t="shared" si="402"/>
        <v/>
      </c>
      <c r="AB351" s="288" t="str">
        <f t="shared" si="374"/>
        <v/>
      </c>
      <c r="AC351" s="288" t="str">
        <f t="shared" si="375"/>
        <v/>
      </c>
      <c r="AD351" s="288" t="str">
        <f t="shared" si="376"/>
        <v/>
      </c>
      <c r="AE351" s="288" t="str">
        <f t="shared" si="377"/>
        <v/>
      </c>
      <c r="AF351" s="288" t="str">
        <f t="shared" si="378"/>
        <v/>
      </c>
      <c r="AG351" s="288" t="str">
        <f t="shared" si="379"/>
        <v/>
      </c>
      <c r="AH351" s="288" t="str">
        <f t="shared" si="380"/>
        <v/>
      </c>
      <c r="AI351" s="36">
        <f t="shared" si="381"/>
        <v>-1</v>
      </c>
      <c r="AJ351" s="36">
        <f t="shared" si="382"/>
        <v>-1</v>
      </c>
      <c r="AK351" s="36">
        <f t="shared" si="383"/>
        <v>-1</v>
      </c>
      <c r="AL351" s="36"/>
      <c r="AM351" s="36" t="str">
        <f t="shared" si="404"/>
        <v/>
      </c>
      <c r="AN351" s="288" t="str">
        <f t="shared" si="384"/>
        <v/>
      </c>
      <c r="AO351" s="288" t="str">
        <f t="shared" si="385"/>
        <v/>
      </c>
      <c r="AP351" s="288" t="str">
        <f t="shared" si="386"/>
        <v/>
      </c>
      <c r="AQ351" s="36">
        <f t="shared" ref="AQ351:AS351" si="433">AQ350</f>
        <v>3.3793103448275866E-2</v>
      </c>
      <c r="AR351" s="36">
        <f t="shared" si="433"/>
        <v>5.9329425287356324E-2</v>
      </c>
      <c r="AS351" s="36">
        <f t="shared" si="433"/>
        <v>8.4865747126436797E-2</v>
      </c>
      <c r="AT351" s="288">
        <f t="shared" si="388"/>
        <v>0.11040206896551726</v>
      </c>
    </row>
    <row r="352" spans="2:46">
      <c r="B352" s="287"/>
      <c r="C352" s="707"/>
      <c r="D352" s="707"/>
      <c r="E352" s="707"/>
      <c r="F352" s="707"/>
      <c r="G352" s="707"/>
      <c r="H352" s="707"/>
      <c r="I352" s="707"/>
      <c r="J352" s="707"/>
      <c r="K352" s="707"/>
      <c r="L352" s="707"/>
      <c r="M352" s="707"/>
      <c r="N352" s="707"/>
      <c r="O352" s="707"/>
      <c r="P352" s="707"/>
      <c r="Q352" s="707"/>
      <c r="R352" s="707"/>
      <c r="S352" s="707"/>
      <c r="T352" s="707"/>
      <c r="U352" s="707"/>
      <c r="V352" s="707"/>
      <c r="W352" s="707"/>
      <c r="X352" s="707"/>
      <c r="Y352" s="707"/>
      <c r="Z352" s="707"/>
      <c r="AA352" s="36" t="str">
        <f t="shared" si="402"/>
        <v/>
      </c>
      <c r="AB352" s="288" t="str">
        <f t="shared" si="374"/>
        <v/>
      </c>
      <c r="AC352" s="288" t="str">
        <f t="shared" si="375"/>
        <v/>
      </c>
      <c r="AD352" s="288" t="str">
        <f t="shared" si="376"/>
        <v/>
      </c>
      <c r="AE352" s="288" t="str">
        <f t="shared" si="377"/>
        <v/>
      </c>
      <c r="AF352" s="288" t="str">
        <f t="shared" si="378"/>
        <v/>
      </c>
      <c r="AG352" s="288" t="str">
        <f t="shared" si="379"/>
        <v/>
      </c>
      <c r="AH352" s="288" t="str">
        <f t="shared" si="380"/>
        <v/>
      </c>
      <c r="AI352" s="36">
        <f t="shared" si="381"/>
        <v>-1</v>
      </c>
      <c r="AJ352" s="36">
        <f t="shared" si="382"/>
        <v>-1</v>
      </c>
      <c r="AK352" s="36">
        <f t="shared" si="383"/>
        <v>-1</v>
      </c>
      <c r="AL352" s="36"/>
      <c r="AM352" s="36" t="str">
        <f t="shared" si="404"/>
        <v/>
      </c>
      <c r="AN352" s="288" t="str">
        <f t="shared" si="384"/>
        <v/>
      </c>
      <c r="AO352" s="288" t="str">
        <f t="shared" si="385"/>
        <v/>
      </c>
      <c r="AP352" s="288" t="str">
        <f t="shared" si="386"/>
        <v/>
      </c>
      <c r="AQ352" s="36">
        <f t="shared" ref="AQ352:AS352" si="434">AQ351</f>
        <v>3.3793103448275866E-2</v>
      </c>
      <c r="AR352" s="36">
        <f t="shared" si="434"/>
        <v>5.9329425287356324E-2</v>
      </c>
      <c r="AS352" s="36">
        <f t="shared" si="434"/>
        <v>8.4865747126436797E-2</v>
      </c>
      <c r="AT352" s="288">
        <f t="shared" si="388"/>
        <v>0.11040206896551726</v>
      </c>
    </row>
    <row r="353" spans="2:46">
      <c r="B353" s="287"/>
      <c r="C353" s="707"/>
      <c r="D353" s="707"/>
      <c r="E353" s="707"/>
      <c r="F353" s="707"/>
      <c r="G353" s="707"/>
      <c r="H353" s="707"/>
      <c r="I353" s="707"/>
      <c r="J353" s="707"/>
      <c r="K353" s="707"/>
      <c r="L353" s="707"/>
      <c r="M353" s="707"/>
      <c r="N353" s="707"/>
      <c r="O353" s="707"/>
      <c r="P353" s="707"/>
      <c r="Q353" s="707"/>
      <c r="R353" s="707"/>
      <c r="S353" s="707"/>
      <c r="T353" s="707"/>
      <c r="U353" s="707"/>
      <c r="V353" s="707"/>
      <c r="W353" s="707"/>
      <c r="X353" s="707"/>
      <c r="Y353" s="707"/>
      <c r="Z353" s="707"/>
      <c r="AA353" s="36" t="str">
        <f t="shared" si="402"/>
        <v/>
      </c>
      <c r="AB353" s="288" t="str">
        <f t="shared" si="374"/>
        <v/>
      </c>
      <c r="AC353" s="288" t="str">
        <f t="shared" si="375"/>
        <v/>
      </c>
      <c r="AD353" s="288" t="str">
        <f t="shared" si="376"/>
        <v/>
      </c>
      <c r="AE353" s="288" t="str">
        <f t="shared" si="377"/>
        <v/>
      </c>
      <c r="AF353" s="288" t="str">
        <f t="shared" si="378"/>
        <v/>
      </c>
      <c r="AG353" s="288" t="str">
        <f t="shared" si="379"/>
        <v/>
      </c>
      <c r="AH353" s="288" t="str">
        <f t="shared" si="380"/>
        <v/>
      </c>
      <c r="AI353" s="36">
        <f t="shared" si="381"/>
        <v>-1</v>
      </c>
      <c r="AJ353" s="36">
        <f t="shared" si="382"/>
        <v>-1</v>
      </c>
      <c r="AK353" s="36">
        <f t="shared" si="383"/>
        <v>-1</v>
      </c>
      <c r="AL353" s="36"/>
      <c r="AM353" s="36" t="str">
        <f t="shared" si="404"/>
        <v/>
      </c>
      <c r="AN353" s="288" t="str">
        <f t="shared" si="384"/>
        <v/>
      </c>
      <c r="AO353" s="288" t="str">
        <f t="shared" si="385"/>
        <v/>
      </c>
      <c r="AP353" s="288" t="str">
        <f t="shared" si="386"/>
        <v/>
      </c>
      <c r="AQ353" s="36">
        <f t="shared" ref="AQ353:AS353" si="435">AQ352</f>
        <v>3.3793103448275866E-2</v>
      </c>
      <c r="AR353" s="36">
        <f t="shared" si="435"/>
        <v>5.9329425287356324E-2</v>
      </c>
      <c r="AS353" s="36">
        <f t="shared" si="435"/>
        <v>8.4865747126436797E-2</v>
      </c>
      <c r="AT353" s="288">
        <f t="shared" si="388"/>
        <v>0.11040206896551726</v>
      </c>
    </row>
    <row r="354" spans="2:46">
      <c r="B354" s="287"/>
      <c r="C354" s="707"/>
      <c r="D354" s="707"/>
      <c r="E354" s="707"/>
      <c r="F354" s="707"/>
      <c r="G354" s="707"/>
      <c r="H354" s="707"/>
      <c r="I354" s="707"/>
      <c r="J354" s="707"/>
      <c r="K354" s="707"/>
      <c r="L354" s="707"/>
      <c r="M354" s="707"/>
      <c r="N354" s="707"/>
      <c r="O354" s="707"/>
      <c r="P354" s="707"/>
      <c r="Q354" s="707"/>
      <c r="R354" s="707"/>
      <c r="S354" s="707"/>
      <c r="T354" s="707"/>
      <c r="U354" s="707"/>
      <c r="V354" s="707"/>
      <c r="W354" s="707"/>
      <c r="X354" s="707"/>
      <c r="Y354" s="707"/>
      <c r="Z354" s="707"/>
      <c r="AA354" s="36" t="str">
        <f t="shared" si="402"/>
        <v/>
      </c>
      <c r="AB354" s="288" t="str">
        <f t="shared" si="374"/>
        <v/>
      </c>
      <c r="AC354" s="288" t="str">
        <f t="shared" si="375"/>
        <v/>
      </c>
      <c r="AD354" s="288" t="str">
        <f t="shared" si="376"/>
        <v/>
      </c>
      <c r="AE354" s="288" t="str">
        <f t="shared" si="377"/>
        <v/>
      </c>
      <c r="AF354" s="288" t="str">
        <f t="shared" si="378"/>
        <v/>
      </c>
      <c r="AG354" s="288" t="str">
        <f t="shared" si="379"/>
        <v/>
      </c>
      <c r="AH354" s="288" t="str">
        <f t="shared" si="380"/>
        <v/>
      </c>
      <c r="AI354" s="36">
        <f t="shared" si="381"/>
        <v>-1</v>
      </c>
      <c r="AJ354" s="36">
        <f t="shared" si="382"/>
        <v>-1</v>
      </c>
      <c r="AK354" s="36">
        <f t="shared" si="383"/>
        <v>-1</v>
      </c>
      <c r="AL354" s="36"/>
      <c r="AM354" s="36" t="str">
        <f t="shared" si="404"/>
        <v/>
      </c>
      <c r="AN354" s="288" t="str">
        <f t="shared" si="384"/>
        <v/>
      </c>
      <c r="AO354" s="288" t="str">
        <f t="shared" si="385"/>
        <v/>
      </c>
      <c r="AP354" s="288" t="str">
        <f t="shared" si="386"/>
        <v/>
      </c>
      <c r="AQ354" s="36">
        <f t="shared" ref="AQ354:AS354" si="436">AQ353</f>
        <v>3.3793103448275866E-2</v>
      </c>
      <c r="AR354" s="36">
        <f t="shared" si="436"/>
        <v>5.9329425287356324E-2</v>
      </c>
      <c r="AS354" s="36">
        <f t="shared" si="436"/>
        <v>8.4865747126436797E-2</v>
      </c>
      <c r="AT354" s="288">
        <f t="shared" si="388"/>
        <v>0.11040206896551726</v>
      </c>
    </row>
    <row r="355" spans="2:46">
      <c r="B355" s="287"/>
      <c r="C355" s="707"/>
      <c r="D355" s="707"/>
      <c r="E355" s="707"/>
      <c r="F355" s="707"/>
      <c r="G355" s="707"/>
      <c r="H355" s="707"/>
      <c r="I355" s="707"/>
      <c r="J355" s="707"/>
      <c r="K355" s="707"/>
      <c r="L355" s="707"/>
      <c r="M355" s="707"/>
      <c r="N355" s="707"/>
      <c r="O355" s="707"/>
      <c r="P355" s="707"/>
      <c r="Q355" s="707"/>
      <c r="R355" s="707"/>
      <c r="S355" s="707"/>
      <c r="T355" s="707"/>
      <c r="U355" s="707"/>
      <c r="V355" s="707"/>
      <c r="W355" s="707"/>
      <c r="X355" s="707"/>
      <c r="Y355" s="707"/>
      <c r="Z355" s="707"/>
      <c r="AA355" s="36" t="str">
        <f t="shared" si="402"/>
        <v/>
      </c>
      <c r="AB355" s="288" t="str">
        <f t="shared" si="374"/>
        <v/>
      </c>
      <c r="AC355" s="288" t="str">
        <f t="shared" si="375"/>
        <v/>
      </c>
      <c r="AD355" s="288" t="str">
        <f t="shared" si="376"/>
        <v/>
      </c>
      <c r="AE355" s="288" t="str">
        <f t="shared" si="377"/>
        <v/>
      </c>
      <c r="AF355" s="288" t="str">
        <f t="shared" si="378"/>
        <v/>
      </c>
      <c r="AG355" s="288" t="str">
        <f t="shared" si="379"/>
        <v/>
      </c>
      <c r="AH355" s="288" t="str">
        <f t="shared" si="380"/>
        <v/>
      </c>
      <c r="AI355" s="36">
        <f t="shared" si="381"/>
        <v>-1</v>
      </c>
      <c r="AJ355" s="36">
        <f t="shared" si="382"/>
        <v>-1</v>
      </c>
      <c r="AK355" s="36">
        <f t="shared" si="383"/>
        <v>-1</v>
      </c>
      <c r="AL355" s="36"/>
      <c r="AM355" s="36" t="str">
        <f t="shared" si="404"/>
        <v/>
      </c>
      <c r="AN355" s="288" t="str">
        <f t="shared" si="384"/>
        <v/>
      </c>
      <c r="AO355" s="288" t="str">
        <f t="shared" si="385"/>
        <v/>
      </c>
      <c r="AP355" s="288" t="str">
        <f t="shared" si="386"/>
        <v/>
      </c>
      <c r="AQ355" s="36">
        <f t="shared" ref="AQ355:AS355" si="437">AQ354</f>
        <v>3.3793103448275866E-2</v>
      </c>
      <c r="AR355" s="36">
        <f t="shared" si="437"/>
        <v>5.9329425287356324E-2</v>
      </c>
      <c r="AS355" s="36">
        <f t="shared" si="437"/>
        <v>8.4865747126436797E-2</v>
      </c>
      <c r="AT355" s="288">
        <f t="shared" si="388"/>
        <v>0.11040206896551726</v>
      </c>
    </row>
    <row r="356" spans="2:46">
      <c r="B356" s="287"/>
      <c r="C356" s="707"/>
      <c r="D356" s="707"/>
      <c r="E356" s="707"/>
      <c r="F356" s="707"/>
      <c r="G356" s="707"/>
      <c r="H356" s="707"/>
      <c r="I356" s="707"/>
      <c r="J356" s="707"/>
      <c r="K356" s="707"/>
      <c r="L356" s="707"/>
      <c r="M356" s="707"/>
      <c r="N356" s="707"/>
      <c r="O356" s="707"/>
      <c r="P356" s="707"/>
      <c r="Q356" s="707"/>
      <c r="R356" s="707"/>
      <c r="S356" s="707"/>
      <c r="T356" s="707"/>
      <c r="U356" s="707"/>
      <c r="V356" s="707"/>
      <c r="W356" s="707"/>
      <c r="X356" s="707"/>
      <c r="Y356" s="707"/>
      <c r="Z356" s="707"/>
      <c r="AA356" s="36" t="str">
        <f t="shared" si="402"/>
        <v/>
      </c>
      <c r="AB356" s="288" t="str">
        <f t="shared" si="374"/>
        <v/>
      </c>
      <c r="AC356" s="288" t="str">
        <f t="shared" si="375"/>
        <v/>
      </c>
      <c r="AD356" s="288" t="str">
        <f t="shared" si="376"/>
        <v/>
      </c>
      <c r="AE356" s="288" t="str">
        <f t="shared" si="377"/>
        <v/>
      </c>
      <c r="AF356" s="288" t="str">
        <f t="shared" si="378"/>
        <v/>
      </c>
      <c r="AG356" s="288" t="str">
        <f t="shared" si="379"/>
        <v/>
      </c>
      <c r="AH356" s="288" t="str">
        <f t="shared" si="380"/>
        <v/>
      </c>
      <c r="AI356" s="36">
        <f t="shared" si="381"/>
        <v>-1</v>
      </c>
      <c r="AJ356" s="36">
        <f t="shared" si="382"/>
        <v>-1</v>
      </c>
      <c r="AK356" s="36">
        <f t="shared" si="383"/>
        <v>-1</v>
      </c>
      <c r="AL356" s="36"/>
      <c r="AM356" s="36" t="str">
        <f t="shared" si="404"/>
        <v/>
      </c>
      <c r="AN356" s="288" t="str">
        <f t="shared" si="384"/>
        <v/>
      </c>
      <c r="AO356" s="288" t="str">
        <f t="shared" si="385"/>
        <v/>
      </c>
      <c r="AP356" s="288" t="str">
        <f t="shared" si="386"/>
        <v/>
      </c>
      <c r="AQ356" s="36">
        <f t="shared" ref="AQ356:AS356" si="438">AQ355</f>
        <v>3.3793103448275866E-2</v>
      </c>
      <c r="AR356" s="36">
        <f t="shared" si="438"/>
        <v>5.9329425287356324E-2</v>
      </c>
      <c r="AS356" s="36">
        <f t="shared" si="438"/>
        <v>8.4865747126436797E-2</v>
      </c>
      <c r="AT356" s="288">
        <f t="shared" si="388"/>
        <v>0.11040206896551726</v>
      </c>
    </row>
    <row r="357" spans="2:46">
      <c r="B357" s="287"/>
      <c r="C357" s="707"/>
      <c r="D357" s="707"/>
      <c r="E357" s="707"/>
      <c r="F357" s="707"/>
      <c r="G357" s="707"/>
      <c r="H357" s="707"/>
      <c r="I357" s="707"/>
      <c r="J357" s="707"/>
      <c r="K357" s="707"/>
      <c r="L357" s="707"/>
      <c r="M357" s="707"/>
      <c r="N357" s="707"/>
      <c r="O357" s="707"/>
      <c r="P357" s="707"/>
      <c r="Q357" s="707"/>
      <c r="R357" s="707"/>
      <c r="S357" s="707"/>
      <c r="T357" s="707"/>
      <c r="U357" s="707"/>
      <c r="V357" s="707"/>
      <c r="W357" s="707"/>
      <c r="X357" s="707"/>
      <c r="Y357" s="707"/>
      <c r="Z357" s="707"/>
      <c r="AA357" s="36" t="str">
        <f t="shared" si="402"/>
        <v/>
      </c>
      <c r="AB357" s="288" t="str">
        <f t="shared" si="374"/>
        <v/>
      </c>
      <c r="AC357" s="288" t="str">
        <f t="shared" si="375"/>
        <v/>
      </c>
      <c r="AD357" s="288" t="str">
        <f t="shared" si="376"/>
        <v/>
      </c>
      <c r="AE357" s="288" t="str">
        <f t="shared" si="377"/>
        <v/>
      </c>
      <c r="AF357" s="288" t="str">
        <f t="shared" si="378"/>
        <v/>
      </c>
      <c r="AG357" s="288" t="str">
        <f t="shared" si="379"/>
        <v/>
      </c>
      <c r="AH357" s="288" t="str">
        <f t="shared" si="380"/>
        <v/>
      </c>
      <c r="AI357" s="36">
        <f t="shared" si="381"/>
        <v>-1</v>
      </c>
      <c r="AJ357" s="36">
        <f t="shared" si="382"/>
        <v>-1</v>
      </c>
      <c r="AK357" s="36">
        <f t="shared" si="383"/>
        <v>-1</v>
      </c>
      <c r="AL357" s="36"/>
      <c r="AM357" s="36" t="str">
        <f t="shared" si="404"/>
        <v/>
      </c>
      <c r="AN357" s="288" t="str">
        <f t="shared" si="384"/>
        <v/>
      </c>
      <c r="AO357" s="288" t="str">
        <f t="shared" si="385"/>
        <v/>
      </c>
      <c r="AP357" s="288" t="str">
        <f t="shared" si="386"/>
        <v/>
      </c>
      <c r="AQ357" s="36">
        <f t="shared" ref="AQ357:AS357" si="439">AQ356</f>
        <v>3.3793103448275866E-2</v>
      </c>
      <c r="AR357" s="36">
        <f t="shared" si="439"/>
        <v>5.9329425287356324E-2</v>
      </c>
      <c r="AS357" s="36">
        <f t="shared" si="439"/>
        <v>8.4865747126436797E-2</v>
      </c>
      <c r="AT357" s="288">
        <f t="shared" si="388"/>
        <v>0.11040206896551726</v>
      </c>
    </row>
    <row r="358" spans="2:46">
      <c r="B358" s="287"/>
      <c r="C358" s="707"/>
      <c r="D358" s="707"/>
      <c r="E358" s="707"/>
      <c r="F358" s="707"/>
      <c r="G358" s="707"/>
      <c r="H358" s="707"/>
      <c r="I358" s="707"/>
      <c r="J358" s="707"/>
      <c r="K358" s="707"/>
      <c r="L358" s="707"/>
      <c r="M358" s="707"/>
      <c r="N358" s="707"/>
      <c r="O358" s="707"/>
      <c r="P358" s="707"/>
      <c r="Q358" s="707"/>
      <c r="R358" s="707"/>
      <c r="S358" s="707"/>
      <c r="T358" s="707"/>
      <c r="U358" s="707"/>
      <c r="V358" s="707"/>
      <c r="W358" s="707"/>
      <c r="X358" s="707"/>
      <c r="Y358" s="707"/>
      <c r="Z358" s="707"/>
      <c r="AA358" s="36" t="str">
        <f t="shared" si="402"/>
        <v/>
      </c>
      <c r="AB358" s="288" t="str">
        <f t="shared" si="374"/>
        <v/>
      </c>
      <c r="AC358" s="288" t="str">
        <f t="shared" si="375"/>
        <v/>
      </c>
      <c r="AD358" s="288" t="str">
        <f t="shared" si="376"/>
        <v/>
      </c>
      <c r="AE358" s="288" t="str">
        <f t="shared" si="377"/>
        <v/>
      </c>
      <c r="AF358" s="288" t="str">
        <f t="shared" si="378"/>
        <v/>
      </c>
      <c r="AG358" s="288" t="str">
        <f t="shared" si="379"/>
        <v/>
      </c>
      <c r="AH358" s="288" t="str">
        <f t="shared" si="380"/>
        <v/>
      </c>
      <c r="AI358" s="36">
        <f t="shared" si="381"/>
        <v>-1</v>
      </c>
      <c r="AJ358" s="36">
        <f t="shared" si="382"/>
        <v>-1</v>
      </c>
      <c r="AK358" s="36">
        <f t="shared" si="383"/>
        <v>-1</v>
      </c>
      <c r="AL358" s="36"/>
      <c r="AM358" s="36" t="str">
        <f t="shared" si="404"/>
        <v/>
      </c>
      <c r="AN358" s="288" t="str">
        <f t="shared" si="384"/>
        <v/>
      </c>
      <c r="AO358" s="288" t="str">
        <f t="shared" si="385"/>
        <v/>
      </c>
      <c r="AP358" s="288" t="str">
        <f t="shared" si="386"/>
        <v/>
      </c>
      <c r="AQ358" s="36">
        <f t="shared" ref="AQ358:AS358" si="440">AQ357</f>
        <v>3.3793103448275866E-2</v>
      </c>
      <c r="AR358" s="36">
        <f t="shared" si="440"/>
        <v>5.9329425287356324E-2</v>
      </c>
      <c r="AS358" s="36">
        <f t="shared" si="440"/>
        <v>8.4865747126436797E-2</v>
      </c>
      <c r="AT358" s="288">
        <f t="shared" si="388"/>
        <v>0.11040206896551726</v>
      </c>
    </row>
    <row r="359" spans="2:46">
      <c r="B359" s="287"/>
      <c r="C359" s="707"/>
      <c r="D359" s="707"/>
      <c r="E359" s="707"/>
      <c r="F359" s="707"/>
      <c r="G359" s="707"/>
      <c r="H359" s="707"/>
      <c r="I359" s="707"/>
      <c r="J359" s="707"/>
      <c r="K359" s="707"/>
      <c r="L359" s="707"/>
      <c r="M359" s="707"/>
      <c r="N359" s="707"/>
      <c r="O359" s="707"/>
      <c r="P359" s="707"/>
      <c r="Q359" s="707"/>
      <c r="R359" s="707"/>
      <c r="S359" s="707"/>
      <c r="T359" s="707"/>
      <c r="U359" s="707"/>
      <c r="V359" s="707"/>
      <c r="W359" s="707"/>
      <c r="X359" s="707"/>
      <c r="Y359" s="707"/>
      <c r="Z359" s="707"/>
      <c r="AA359" s="36" t="str">
        <f t="shared" si="402"/>
        <v/>
      </c>
      <c r="AB359" s="288" t="str">
        <f t="shared" si="374"/>
        <v/>
      </c>
      <c r="AC359" s="288" t="str">
        <f t="shared" si="375"/>
        <v/>
      </c>
      <c r="AD359" s="288" t="str">
        <f t="shared" si="376"/>
        <v/>
      </c>
      <c r="AE359" s="288" t="str">
        <f t="shared" si="377"/>
        <v/>
      </c>
      <c r="AF359" s="288" t="str">
        <f t="shared" si="378"/>
        <v/>
      </c>
      <c r="AG359" s="288" t="str">
        <f t="shared" si="379"/>
        <v/>
      </c>
      <c r="AH359" s="288" t="str">
        <f t="shared" si="380"/>
        <v/>
      </c>
      <c r="AI359" s="36">
        <f t="shared" si="381"/>
        <v>-1</v>
      </c>
      <c r="AJ359" s="36">
        <f t="shared" si="382"/>
        <v>-1</v>
      </c>
      <c r="AK359" s="36">
        <f t="shared" si="383"/>
        <v>-1</v>
      </c>
      <c r="AL359" s="36"/>
      <c r="AM359" s="36" t="str">
        <f t="shared" si="404"/>
        <v/>
      </c>
      <c r="AN359" s="288" t="str">
        <f t="shared" si="384"/>
        <v/>
      </c>
      <c r="AO359" s="288" t="str">
        <f t="shared" si="385"/>
        <v/>
      </c>
      <c r="AP359" s="288" t="str">
        <f t="shared" si="386"/>
        <v/>
      </c>
      <c r="AQ359" s="36">
        <f t="shared" ref="AQ359:AS359" si="441">AQ358</f>
        <v>3.3793103448275866E-2</v>
      </c>
      <c r="AR359" s="36">
        <f t="shared" si="441"/>
        <v>5.9329425287356324E-2</v>
      </c>
      <c r="AS359" s="36">
        <f t="shared" si="441"/>
        <v>8.4865747126436797E-2</v>
      </c>
      <c r="AT359" s="288">
        <f t="shared" si="388"/>
        <v>0.11040206896551726</v>
      </c>
    </row>
    <row r="360" spans="2:46">
      <c r="B360" s="287"/>
      <c r="C360" s="707"/>
      <c r="D360" s="707"/>
      <c r="E360" s="707"/>
      <c r="F360" s="707"/>
      <c r="G360" s="707"/>
      <c r="H360" s="707"/>
      <c r="I360" s="707"/>
      <c r="J360" s="707"/>
      <c r="K360" s="707"/>
      <c r="L360" s="707"/>
      <c r="M360" s="707"/>
      <c r="N360" s="707"/>
      <c r="O360" s="707"/>
      <c r="P360" s="707"/>
      <c r="Q360" s="707"/>
      <c r="R360" s="707"/>
      <c r="S360" s="707"/>
      <c r="T360" s="707"/>
      <c r="U360" s="707"/>
      <c r="V360" s="707"/>
      <c r="W360" s="707"/>
      <c r="X360" s="707"/>
      <c r="Y360" s="707"/>
      <c r="Z360" s="707"/>
      <c r="AA360" s="36" t="str">
        <f t="shared" si="402"/>
        <v/>
      </c>
      <c r="AB360" s="288" t="str">
        <f t="shared" si="374"/>
        <v/>
      </c>
      <c r="AC360" s="288" t="str">
        <f t="shared" si="375"/>
        <v/>
      </c>
      <c r="AD360" s="288" t="str">
        <f t="shared" si="376"/>
        <v/>
      </c>
      <c r="AE360" s="288" t="str">
        <f t="shared" si="377"/>
        <v/>
      </c>
      <c r="AF360" s="288" t="str">
        <f t="shared" si="378"/>
        <v/>
      </c>
      <c r="AG360" s="288" t="str">
        <f t="shared" si="379"/>
        <v/>
      </c>
      <c r="AH360" s="288" t="str">
        <f t="shared" si="380"/>
        <v/>
      </c>
      <c r="AI360" s="36">
        <f t="shared" si="381"/>
        <v>-1</v>
      </c>
      <c r="AJ360" s="36">
        <f t="shared" si="382"/>
        <v>-1</v>
      </c>
      <c r="AK360" s="36">
        <f t="shared" si="383"/>
        <v>-1</v>
      </c>
      <c r="AL360" s="36"/>
      <c r="AM360" s="36" t="str">
        <f t="shared" si="404"/>
        <v/>
      </c>
      <c r="AN360" s="288" t="str">
        <f t="shared" si="384"/>
        <v/>
      </c>
      <c r="AO360" s="288" t="str">
        <f t="shared" si="385"/>
        <v/>
      </c>
      <c r="AP360" s="288" t="str">
        <f t="shared" si="386"/>
        <v/>
      </c>
      <c r="AQ360" s="36">
        <f t="shared" ref="AQ360:AS360" si="442">AQ359</f>
        <v>3.3793103448275866E-2</v>
      </c>
      <c r="AR360" s="36">
        <f t="shared" si="442"/>
        <v>5.9329425287356324E-2</v>
      </c>
      <c r="AS360" s="36">
        <f t="shared" si="442"/>
        <v>8.4865747126436797E-2</v>
      </c>
      <c r="AT360" s="288">
        <f t="shared" si="388"/>
        <v>0.11040206896551726</v>
      </c>
    </row>
    <row r="361" spans="2:46">
      <c r="B361" s="287"/>
      <c r="C361" s="707"/>
      <c r="D361" s="707"/>
      <c r="E361" s="707"/>
      <c r="F361" s="707"/>
      <c r="G361" s="707"/>
      <c r="H361" s="707"/>
      <c r="I361" s="707"/>
      <c r="J361" s="707"/>
      <c r="K361" s="707"/>
      <c r="L361" s="707"/>
      <c r="M361" s="707"/>
      <c r="N361" s="707"/>
      <c r="O361" s="707"/>
      <c r="P361" s="707"/>
      <c r="Q361" s="707"/>
      <c r="R361" s="707"/>
      <c r="S361" s="707"/>
      <c r="T361" s="707"/>
      <c r="U361" s="707"/>
      <c r="V361" s="707"/>
      <c r="W361" s="707"/>
      <c r="X361" s="707"/>
      <c r="Y361" s="707"/>
      <c r="Z361" s="707"/>
      <c r="AA361" s="36" t="str">
        <f t="shared" si="402"/>
        <v/>
      </c>
      <c r="AB361" s="288" t="str">
        <f t="shared" si="374"/>
        <v/>
      </c>
      <c r="AC361" s="288" t="str">
        <f t="shared" si="375"/>
        <v/>
      </c>
      <c r="AD361" s="288" t="str">
        <f t="shared" si="376"/>
        <v/>
      </c>
      <c r="AE361" s="288" t="str">
        <f t="shared" si="377"/>
        <v/>
      </c>
      <c r="AF361" s="288" t="str">
        <f t="shared" si="378"/>
        <v/>
      </c>
      <c r="AG361" s="288" t="str">
        <f t="shared" si="379"/>
        <v/>
      </c>
      <c r="AH361" s="288" t="str">
        <f t="shared" si="380"/>
        <v/>
      </c>
      <c r="AI361" s="36">
        <f t="shared" si="381"/>
        <v>-1</v>
      </c>
      <c r="AJ361" s="36">
        <f t="shared" si="382"/>
        <v>-1</v>
      </c>
      <c r="AK361" s="36">
        <f t="shared" si="383"/>
        <v>-1</v>
      </c>
      <c r="AL361" s="36"/>
      <c r="AM361" s="36" t="str">
        <f t="shared" si="404"/>
        <v/>
      </c>
      <c r="AN361" s="288" t="str">
        <f t="shared" si="384"/>
        <v/>
      </c>
      <c r="AO361" s="288" t="str">
        <f t="shared" si="385"/>
        <v/>
      </c>
      <c r="AP361" s="288" t="str">
        <f t="shared" si="386"/>
        <v/>
      </c>
      <c r="AQ361" s="36">
        <f t="shared" ref="AQ361:AS361" si="443">AQ360</f>
        <v>3.3793103448275866E-2</v>
      </c>
      <c r="AR361" s="36">
        <f t="shared" si="443"/>
        <v>5.9329425287356324E-2</v>
      </c>
      <c r="AS361" s="36">
        <f t="shared" si="443"/>
        <v>8.4865747126436797E-2</v>
      </c>
      <c r="AT361" s="288">
        <f t="shared" si="388"/>
        <v>0.11040206896551726</v>
      </c>
    </row>
    <row r="362" spans="2:46">
      <c r="B362" s="287"/>
      <c r="C362" s="707"/>
      <c r="D362" s="707"/>
      <c r="E362" s="707"/>
      <c r="F362" s="707"/>
      <c r="G362" s="707"/>
      <c r="H362" s="707"/>
      <c r="I362" s="707"/>
      <c r="J362" s="707"/>
      <c r="K362" s="707"/>
      <c r="L362" s="707"/>
      <c r="M362" s="707"/>
      <c r="N362" s="707"/>
      <c r="O362" s="707"/>
      <c r="P362" s="707"/>
      <c r="Q362" s="707"/>
      <c r="R362" s="707"/>
      <c r="S362" s="707"/>
      <c r="T362" s="707"/>
      <c r="U362" s="707"/>
      <c r="V362" s="707"/>
      <c r="W362" s="707"/>
      <c r="X362" s="707"/>
      <c r="Y362" s="707"/>
      <c r="Z362" s="707"/>
      <c r="AA362" s="36" t="str">
        <f t="shared" si="402"/>
        <v/>
      </c>
      <c r="AB362" s="288" t="str">
        <f t="shared" si="374"/>
        <v/>
      </c>
      <c r="AC362" s="288" t="str">
        <f t="shared" si="375"/>
        <v/>
      </c>
      <c r="AD362" s="288" t="str">
        <f t="shared" si="376"/>
        <v/>
      </c>
      <c r="AE362" s="288" t="str">
        <f t="shared" si="377"/>
        <v/>
      </c>
      <c r="AF362" s="288" t="str">
        <f t="shared" si="378"/>
        <v/>
      </c>
      <c r="AG362" s="288" t="str">
        <f t="shared" si="379"/>
        <v/>
      </c>
      <c r="AH362" s="288" t="str">
        <f t="shared" si="380"/>
        <v/>
      </c>
      <c r="AI362" s="36">
        <f t="shared" si="381"/>
        <v>-1</v>
      </c>
      <c r="AJ362" s="36">
        <f t="shared" si="382"/>
        <v>-1</v>
      </c>
      <c r="AK362" s="36">
        <f t="shared" si="383"/>
        <v>-1</v>
      </c>
      <c r="AL362" s="36"/>
      <c r="AM362" s="36" t="str">
        <f t="shared" si="404"/>
        <v/>
      </c>
      <c r="AN362" s="288" t="str">
        <f t="shared" si="384"/>
        <v/>
      </c>
      <c r="AO362" s="288" t="str">
        <f t="shared" si="385"/>
        <v/>
      </c>
      <c r="AP362" s="288" t="str">
        <f t="shared" si="386"/>
        <v/>
      </c>
      <c r="AQ362" s="36">
        <f t="shared" ref="AQ362:AS362" si="444">AQ361</f>
        <v>3.3793103448275866E-2</v>
      </c>
      <c r="AR362" s="36">
        <f t="shared" si="444"/>
        <v>5.9329425287356324E-2</v>
      </c>
      <c r="AS362" s="36">
        <f t="shared" si="444"/>
        <v>8.4865747126436797E-2</v>
      </c>
      <c r="AT362" s="288">
        <f t="shared" si="388"/>
        <v>0.11040206896551726</v>
      </c>
    </row>
    <row r="363" spans="2:46">
      <c r="B363" s="287"/>
      <c r="C363" s="707"/>
      <c r="D363" s="707"/>
      <c r="E363" s="707"/>
      <c r="F363" s="707"/>
      <c r="G363" s="707"/>
      <c r="H363" s="707"/>
      <c r="I363" s="707"/>
      <c r="J363" s="707"/>
      <c r="K363" s="707"/>
      <c r="L363" s="707"/>
      <c r="M363" s="707"/>
      <c r="N363" s="707"/>
      <c r="O363" s="707"/>
      <c r="P363" s="707"/>
      <c r="Q363" s="707"/>
      <c r="R363" s="707"/>
      <c r="S363" s="707"/>
      <c r="T363" s="707"/>
      <c r="U363" s="707"/>
      <c r="V363" s="707"/>
      <c r="W363" s="707"/>
      <c r="X363" s="707"/>
      <c r="Y363" s="707"/>
      <c r="Z363" s="707"/>
      <c r="AA363" s="36" t="str">
        <f t="shared" si="402"/>
        <v/>
      </c>
      <c r="AB363" s="288" t="str">
        <f t="shared" si="374"/>
        <v/>
      </c>
      <c r="AC363" s="288" t="str">
        <f t="shared" si="375"/>
        <v/>
      </c>
      <c r="AD363" s="288" t="str">
        <f t="shared" si="376"/>
        <v/>
      </c>
      <c r="AE363" s="288" t="str">
        <f t="shared" si="377"/>
        <v/>
      </c>
      <c r="AF363" s="288" t="str">
        <f t="shared" si="378"/>
        <v/>
      </c>
      <c r="AG363" s="288" t="str">
        <f t="shared" si="379"/>
        <v/>
      </c>
      <c r="AH363" s="288" t="str">
        <f t="shared" si="380"/>
        <v/>
      </c>
      <c r="AI363" s="36">
        <f t="shared" si="381"/>
        <v>-1</v>
      </c>
      <c r="AJ363" s="36">
        <f t="shared" si="382"/>
        <v>-1</v>
      </c>
      <c r="AK363" s="36">
        <f t="shared" si="383"/>
        <v>-1</v>
      </c>
      <c r="AL363" s="36"/>
      <c r="AM363" s="36" t="str">
        <f t="shared" si="404"/>
        <v/>
      </c>
      <c r="AN363" s="288" t="str">
        <f t="shared" si="384"/>
        <v/>
      </c>
      <c r="AO363" s="288" t="str">
        <f t="shared" si="385"/>
        <v/>
      </c>
      <c r="AP363" s="288" t="str">
        <f t="shared" si="386"/>
        <v/>
      </c>
      <c r="AQ363" s="36">
        <f t="shared" ref="AQ363:AS363" si="445">AQ362</f>
        <v>3.3793103448275866E-2</v>
      </c>
      <c r="AR363" s="36">
        <f t="shared" si="445"/>
        <v>5.9329425287356324E-2</v>
      </c>
      <c r="AS363" s="36">
        <f t="shared" si="445"/>
        <v>8.4865747126436797E-2</v>
      </c>
      <c r="AT363" s="288">
        <f t="shared" si="388"/>
        <v>0.11040206896551726</v>
      </c>
    </row>
    <row r="364" spans="2:46">
      <c r="B364" s="287"/>
      <c r="C364" s="707"/>
      <c r="D364" s="707"/>
      <c r="E364" s="707"/>
      <c r="F364" s="707"/>
      <c r="G364" s="707"/>
      <c r="H364" s="707"/>
      <c r="I364" s="707"/>
      <c r="J364" s="707"/>
      <c r="K364" s="707"/>
      <c r="L364" s="707"/>
      <c r="M364" s="707"/>
      <c r="N364" s="707"/>
      <c r="O364" s="707"/>
      <c r="P364" s="707"/>
      <c r="Q364" s="707"/>
      <c r="R364" s="707"/>
      <c r="S364" s="707"/>
      <c r="T364" s="707"/>
      <c r="U364" s="707"/>
      <c r="V364" s="707"/>
      <c r="W364" s="707"/>
      <c r="X364" s="707"/>
      <c r="Y364" s="707"/>
      <c r="Z364" s="707"/>
      <c r="AA364" s="36" t="str">
        <f t="shared" si="402"/>
        <v/>
      </c>
      <c r="AB364" s="288" t="str">
        <f t="shared" si="374"/>
        <v/>
      </c>
      <c r="AC364" s="288" t="str">
        <f t="shared" si="375"/>
        <v/>
      </c>
      <c r="AD364" s="288" t="str">
        <f t="shared" si="376"/>
        <v/>
      </c>
      <c r="AE364" s="288" t="str">
        <f t="shared" si="377"/>
        <v/>
      </c>
      <c r="AF364" s="288" t="str">
        <f t="shared" si="378"/>
        <v/>
      </c>
      <c r="AG364" s="288" t="str">
        <f t="shared" si="379"/>
        <v/>
      </c>
      <c r="AH364" s="288" t="str">
        <f t="shared" si="380"/>
        <v/>
      </c>
      <c r="AI364" s="36">
        <f t="shared" si="381"/>
        <v>-1</v>
      </c>
      <c r="AJ364" s="36">
        <f t="shared" si="382"/>
        <v>-1</v>
      </c>
      <c r="AK364" s="36">
        <f t="shared" si="383"/>
        <v>-1</v>
      </c>
      <c r="AL364" s="36"/>
      <c r="AM364" s="36" t="str">
        <f t="shared" si="404"/>
        <v/>
      </c>
      <c r="AN364" s="288" t="str">
        <f t="shared" si="384"/>
        <v/>
      </c>
      <c r="AO364" s="288" t="str">
        <f t="shared" si="385"/>
        <v/>
      </c>
      <c r="AP364" s="288" t="str">
        <f t="shared" si="386"/>
        <v/>
      </c>
      <c r="AQ364" s="36">
        <f t="shared" ref="AQ364:AS364" si="446">AQ363</f>
        <v>3.3793103448275866E-2</v>
      </c>
      <c r="AR364" s="36">
        <f t="shared" si="446"/>
        <v>5.9329425287356324E-2</v>
      </c>
      <c r="AS364" s="36">
        <f t="shared" si="446"/>
        <v>8.4865747126436797E-2</v>
      </c>
      <c r="AT364" s="288">
        <f t="shared" si="388"/>
        <v>0.11040206896551726</v>
      </c>
    </row>
    <row r="365" spans="2:46">
      <c r="B365" s="287"/>
      <c r="C365" s="707"/>
      <c r="D365" s="707"/>
      <c r="E365" s="707"/>
      <c r="F365" s="707"/>
      <c r="G365" s="707"/>
      <c r="H365" s="707"/>
      <c r="I365" s="707"/>
      <c r="J365" s="707"/>
      <c r="K365" s="707"/>
      <c r="L365" s="707"/>
      <c r="M365" s="707"/>
      <c r="N365" s="707"/>
      <c r="O365" s="707"/>
      <c r="P365" s="707"/>
      <c r="Q365" s="707"/>
      <c r="R365" s="707"/>
      <c r="S365" s="707"/>
      <c r="T365" s="707"/>
      <c r="U365" s="707"/>
      <c r="V365" s="707"/>
      <c r="W365" s="707"/>
      <c r="X365" s="707"/>
      <c r="Y365" s="707"/>
      <c r="Z365" s="707"/>
      <c r="AA365" s="36" t="str">
        <f t="shared" si="402"/>
        <v/>
      </c>
      <c r="AB365" s="288" t="str">
        <f t="shared" si="374"/>
        <v/>
      </c>
      <c r="AC365" s="288" t="str">
        <f t="shared" si="375"/>
        <v/>
      </c>
      <c r="AD365" s="288" t="str">
        <f t="shared" si="376"/>
        <v/>
      </c>
      <c r="AE365" s="288" t="str">
        <f t="shared" si="377"/>
        <v/>
      </c>
      <c r="AF365" s="288" t="str">
        <f t="shared" si="378"/>
        <v/>
      </c>
      <c r="AG365" s="288" t="str">
        <f t="shared" si="379"/>
        <v/>
      </c>
      <c r="AH365" s="288" t="str">
        <f t="shared" si="380"/>
        <v/>
      </c>
      <c r="AI365" s="36">
        <f t="shared" si="381"/>
        <v>-1</v>
      </c>
      <c r="AJ365" s="36">
        <f t="shared" si="382"/>
        <v>-1</v>
      </c>
      <c r="AK365" s="36">
        <f t="shared" si="383"/>
        <v>-1</v>
      </c>
      <c r="AL365" s="36"/>
      <c r="AM365" s="36" t="str">
        <f t="shared" si="404"/>
        <v/>
      </c>
      <c r="AN365" s="288" t="str">
        <f t="shared" si="384"/>
        <v/>
      </c>
      <c r="AO365" s="288" t="str">
        <f t="shared" si="385"/>
        <v/>
      </c>
      <c r="AP365" s="288" t="str">
        <f t="shared" si="386"/>
        <v/>
      </c>
      <c r="AQ365" s="36">
        <f t="shared" ref="AQ365:AS365" si="447">AQ364</f>
        <v>3.3793103448275866E-2</v>
      </c>
      <c r="AR365" s="36">
        <f t="shared" si="447"/>
        <v>5.9329425287356324E-2</v>
      </c>
      <c r="AS365" s="36">
        <f t="shared" si="447"/>
        <v>8.4865747126436797E-2</v>
      </c>
      <c r="AT365" s="288">
        <f t="shared" si="388"/>
        <v>0.11040206896551726</v>
      </c>
    </row>
    <row r="366" spans="2:46">
      <c r="B366" s="287"/>
      <c r="C366" s="707"/>
      <c r="D366" s="707"/>
      <c r="E366" s="707"/>
      <c r="F366" s="707"/>
      <c r="G366" s="707"/>
      <c r="H366" s="707"/>
      <c r="I366" s="707"/>
      <c r="J366" s="707"/>
      <c r="K366" s="707"/>
      <c r="L366" s="707"/>
      <c r="M366" s="707"/>
      <c r="N366" s="707"/>
      <c r="O366" s="707"/>
      <c r="P366" s="707"/>
      <c r="Q366" s="707"/>
      <c r="R366" s="707"/>
      <c r="S366" s="707"/>
      <c r="T366" s="707"/>
      <c r="U366" s="707"/>
      <c r="V366" s="707"/>
      <c r="W366" s="707"/>
      <c r="X366" s="707"/>
      <c r="Y366" s="707"/>
      <c r="Z366" s="707"/>
      <c r="AA366" s="36" t="str">
        <f t="shared" si="402"/>
        <v/>
      </c>
      <c r="AB366" s="288" t="str">
        <f t="shared" si="374"/>
        <v/>
      </c>
      <c r="AC366" s="288" t="str">
        <f t="shared" si="375"/>
        <v/>
      </c>
      <c r="AD366" s="288" t="str">
        <f t="shared" si="376"/>
        <v/>
      </c>
      <c r="AE366" s="288" t="str">
        <f t="shared" si="377"/>
        <v/>
      </c>
      <c r="AF366" s="288" t="str">
        <f t="shared" si="378"/>
        <v/>
      </c>
      <c r="AG366" s="288" t="str">
        <f t="shared" si="379"/>
        <v/>
      </c>
      <c r="AH366" s="288" t="str">
        <f t="shared" si="380"/>
        <v/>
      </c>
      <c r="AI366" s="36">
        <f t="shared" si="381"/>
        <v>-1</v>
      </c>
      <c r="AJ366" s="36">
        <f t="shared" si="382"/>
        <v>-1</v>
      </c>
      <c r="AK366" s="36">
        <f t="shared" si="383"/>
        <v>-1</v>
      </c>
      <c r="AL366" s="36"/>
      <c r="AM366" s="36" t="str">
        <f t="shared" si="404"/>
        <v/>
      </c>
      <c r="AN366" s="288" t="str">
        <f t="shared" si="384"/>
        <v/>
      </c>
      <c r="AO366" s="288" t="str">
        <f t="shared" si="385"/>
        <v/>
      </c>
      <c r="AP366" s="288" t="str">
        <f t="shared" si="386"/>
        <v/>
      </c>
      <c r="AQ366" s="36">
        <f t="shared" ref="AQ366:AS366" si="448">AQ365</f>
        <v>3.3793103448275866E-2</v>
      </c>
      <c r="AR366" s="36">
        <f t="shared" si="448"/>
        <v>5.9329425287356324E-2</v>
      </c>
      <c r="AS366" s="36">
        <f t="shared" si="448"/>
        <v>8.4865747126436797E-2</v>
      </c>
      <c r="AT366" s="288">
        <f t="shared" si="388"/>
        <v>0.11040206896551726</v>
      </c>
    </row>
    <row r="367" spans="2:46">
      <c r="B367" s="287"/>
      <c r="C367" s="707"/>
      <c r="D367" s="707"/>
      <c r="E367" s="707"/>
      <c r="F367" s="707"/>
      <c r="G367" s="707"/>
      <c r="H367" s="707"/>
      <c r="I367" s="707"/>
      <c r="J367" s="707"/>
      <c r="K367" s="707"/>
      <c r="L367" s="707"/>
      <c r="M367" s="707"/>
      <c r="N367" s="707"/>
      <c r="O367" s="707"/>
      <c r="P367" s="707"/>
      <c r="Q367" s="707"/>
      <c r="R367" s="707"/>
      <c r="S367" s="707"/>
      <c r="T367" s="707"/>
      <c r="U367" s="707"/>
      <c r="V367" s="707"/>
      <c r="W367" s="707"/>
      <c r="X367" s="707"/>
      <c r="Y367" s="707"/>
      <c r="Z367" s="707"/>
      <c r="AA367" s="36" t="str">
        <f t="shared" si="402"/>
        <v/>
      </c>
      <c r="AB367" s="288" t="str">
        <f t="shared" si="374"/>
        <v/>
      </c>
      <c r="AC367" s="288" t="str">
        <f t="shared" si="375"/>
        <v/>
      </c>
      <c r="AD367" s="288" t="str">
        <f t="shared" si="376"/>
        <v/>
      </c>
      <c r="AE367" s="288" t="str">
        <f t="shared" si="377"/>
        <v/>
      </c>
      <c r="AF367" s="288" t="str">
        <f t="shared" si="378"/>
        <v/>
      </c>
      <c r="AG367" s="288" t="str">
        <f t="shared" si="379"/>
        <v/>
      </c>
      <c r="AH367" s="288" t="str">
        <f t="shared" si="380"/>
        <v/>
      </c>
      <c r="AI367" s="36">
        <f t="shared" si="381"/>
        <v>-1</v>
      </c>
      <c r="AJ367" s="36">
        <f t="shared" si="382"/>
        <v>-1</v>
      </c>
      <c r="AK367" s="36">
        <f t="shared" si="383"/>
        <v>-1</v>
      </c>
      <c r="AL367" s="36"/>
      <c r="AM367" s="36" t="str">
        <f t="shared" si="404"/>
        <v/>
      </c>
      <c r="AN367" s="288" t="str">
        <f t="shared" si="384"/>
        <v/>
      </c>
      <c r="AO367" s="288" t="str">
        <f t="shared" si="385"/>
        <v/>
      </c>
      <c r="AP367" s="288" t="str">
        <f t="shared" si="386"/>
        <v/>
      </c>
      <c r="AQ367" s="36">
        <f t="shared" ref="AQ367:AS367" si="449">AQ366</f>
        <v>3.3793103448275866E-2</v>
      </c>
      <c r="AR367" s="36">
        <f t="shared" si="449"/>
        <v>5.9329425287356324E-2</v>
      </c>
      <c r="AS367" s="36">
        <f t="shared" si="449"/>
        <v>8.4865747126436797E-2</v>
      </c>
      <c r="AT367" s="288">
        <f t="shared" si="388"/>
        <v>0.11040206896551726</v>
      </c>
    </row>
    <row r="368" spans="2:46">
      <c r="B368" s="287"/>
      <c r="C368" s="707"/>
      <c r="D368" s="707"/>
      <c r="E368" s="707"/>
      <c r="F368" s="707"/>
      <c r="G368" s="707"/>
      <c r="H368" s="707"/>
      <c r="I368" s="707"/>
      <c r="J368" s="707"/>
      <c r="K368" s="707"/>
      <c r="L368" s="707"/>
      <c r="M368" s="707"/>
      <c r="N368" s="707"/>
      <c r="O368" s="707"/>
      <c r="P368" s="707"/>
      <c r="Q368" s="707"/>
      <c r="R368" s="707"/>
      <c r="S368" s="707"/>
      <c r="T368" s="707"/>
      <c r="U368" s="707"/>
      <c r="V368" s="707"/>
      <c r="W368" s="707"/>
      <c r="X368" s="707"/>
      <c r="Y368" s="707"/>
      <c r="Z368" s="707"/>
      <c r="AA368" s="36" t="str">
        <f t="shared" si="402"/>
        <v/>
      </c>
      <c r="AB368" s="288" t="str">
        <f t="shared" si="374"/>
        <v/>
      </c>
      <c r="AC368" s="288" t="str">
        <f t="shared" si="375"/>
        <v/>
      </c>
      <c r="AD368" s="288" t="str">
        <f t="shared" si="376"/>
        <v/>
      </c>
      <c r="AE368" s="288" t="str">
        <f t="shared" si="377"/>
        <v/>
      </c>
      <c r="AF368" s="288" t="str">
        <f t="shared" si="378"/>
        <v/>
      </c>
      <c r="AG368" s="288" t="str">
        <f t="shared" si="379"/>
        <v/>
      </c>
      <c r="AH368" s="288" t="str">
        <f t="shared" si="380"/>
        <v/>
      </c>
      <c r="AI368" s="36">
        <f t="shared" si="381"/>
        <v>-1</v>
      </c>
      <c r="AJ368" s="36">
        <f t="shared" si="382"/>
        <v>-1</v>
      </c>
      <c r="AK368" s="36">
        <f t="shared" si="383"/>
        <v>-1</v>
      </c>
      <c r="AL368" s="36"/>
      <c r="AM368" s="36" t="str">
        <f t="shared" si="404"/>
        <v/>
      </c>
      <c r="AN368" s="288" t="str">
        <f t="shared" si="384"/>
        <v/>
      </c>
      <c r="AO368" s="288" t="str">
        <f t="shared" si="385"/>
        <v/>
      </c>
      <c r="AP368" s="288" t="str">
        <f t="shared" si="386"/>
        <v/>
      </c>
      <c r="AQ368" s="36">
        <f t="shared" ref="AQ368:AS368" si="450">AQ367</f>
        <v>3.3793103448275866E-2</v>
      </c>
      <c r="AR368" s="36">
        <f t="shared" si="450"/>
        <v>5.9329425287356324E-2</v>
      </c>
      <c r="AS368" s="36">
        <f t="shared" si="450"/>
        <v>8.4865747126436797E-2</v>
      </c>
      <c r="AT368" s="288">
        <f t="shared" si="388"/>
        <v>0.11040206896551726</v>
      </c>
    </row>
    <row r="369" spans="2:46">
      <c r="B369" s="287"/>
      <c r="C369" s="707"/>
      <c r="D369" s="707"/>
      <c r="E369" s="707"/>
      <c r="F369" s="707"/>
      <c r="G369" s="707"/>
      <c r="H369" s="707"/>
      <c r="I369" s="707"/>
      <c r="J369" s="707"/>
      <c r="K369" s="707"/>
      <c r="L369" s="707"/>
      <c r="M369" s="707"/>
      <c r="N369" s="707"/>
      <c r="O369" s="707"/>
      <c r="P369" s="707"/>
      <c r="Q369" s="707"/>
      <c r="R369" s="707"/>
      <c r="S369" s="707"/>
      <c r="T369" s="707"/>
      <c r="U369" s="707"/>
      <c r="V369" s="707"/>
      <c r="W369" s="707"/>
      <c r="X369" s="707"/>
      <c r="Y369" s="707"/>
      <c r="Z369" s="707"/>
      <c r="AA369" s="36" t="str">
        <f t="shared" si="402"/>
        <v/>
      </c>
      <c r="AB369" s="288" t="str">
        <f t="shared" si="374"/>
        <v/>
      </c>
      <c r="AC369" s="288" t="str">
        <f t="shared" si="375"/>
        <v/>
      </c>
      <c r="AD369" s="288" t="str">
        <f t="shared" si="376"/>
        <v/>
      </c>
      <c r="AE369" s="288" t="str">
        <f t="shared" si="377"/>
        <v/>
      </c>
      <c r="AF369" s="288" t="str">
        <f t="shared" si="378"/>
        <v/>
      </c>
      <c r="AG369" s="288" t="str">
        <f t="shared" si="379"/>
        <v/>
      </c>
      <c r="AH369" s="288" t="str">
        <f t="shared" si="380"/>
        <v/>
      </c>
      <c r="AI369" s="36">
        <f t="shared" si="381"/>
        <v>-1</v>
      </c>
      <c r="AJ369" s="36">
        <f t="shared" si="382"/>
        <v>-1</v>
      </c>
      <c r="AK369" s="36">
        <f t="shared" si="383"/>
        <v>-1</v>
      </c>
      <c r="AL369" s="36"/>
      <c r="AM369" s="36" t="str">
        <f t="shared" si="404"/>
        <v/>
      </c>
      <c r="AN369" s="288" t="str">
        <f t="shared" si="384"/>
        <v/>
      </c>
      <c r="AO369" s="288" t="str">
        <f t="shared" si="385"/>
        <v/>
      </c>
      <c r="AP369" s="288" t="str">
        <f t="shared" si="386"/>
        <v/>
      </c>
      <c r="AQ369" s="36">
        <f t="shared" ref="AQ369:AS369" si="451">AQ368</f>
        <v>3.3793103448275866E-2</v>
      </c>
      <c r="AR369" s="36">
        <f t="shared" si="451"/>
        <v>5.9329425287356324E-2</v>
      </c>
      <c r="AS369" s="36">
        <f t="shared" si="451"/>
        <v>8.4865747126436797E-2</v>
      </c>
      <c r="AT369" s="288">
        <f t="shared" si="388"/>
        <v>0.11040206896551726</v>
      </c>
    </row>
    <row r="370" spans="2:46">
      <c r="B370" s="287"/>
      <c r="C370" s="707"/>
      <c r="D370" s="707"/>
      <c r="E370" s="707"/>
      <c r="F370" s="707"/>
      <c r="G370" s="707"/>
      <c r="H370" s="707"/>
      <c r="I370" s="707"/>
      <c r="J370" s="707"/>
      <c r="K370" s="707"/>
      <c r="L370" s="707"/>
      <c r="M370" s="707"/>
      <c r="N370" s="707"/>
      <c r="O370" s="707"/>
      <c r="P370" s="707"/>
      <c r="Q370" s="707"/>
      <c r="R370" s="707"/>
      <c r="S370" s="707"/>
      <c r="T370" s="707"/>
      <c r="U370" s="707"/>
      <c r="V370" s="707"/>
      <c r="W370" s="707"/>
      <c r="X370" s="707"/>
      <c r="Y370" s="707"/>
      <c r="Z370" s="707"/>
      <c r="AA370" s="36" t="str">
        <f t="shared" si="402"/>
        <v/>
      </c>
      <c r="AB370" s="288" t="str">
        <f t="shared" si="374"/>
        <v/>
      </c>
      <c r="AC370" s="288" t="str">
        <f t="shared" si="375"/>
        <v/>
      </c>
      <c r="AD370" s="288" t="str">
        <f t="shared" si="376"/>
        <v/>
      </c>
      <c r="AE370" s="288" t="str">
        <f t="shared" si="377"/>
        <v/>
      </c>
      <c r="AF370" s="288" t="str">
        <f t="shared" si="378"/>
        <v/>
      </c>
      <c r="AG370" s="288" t="str">
        <f t="shared" si="379"/>
        <v/>
      </c>
      <c r="AH370" s="288" t="str">
        <f t="shared" si="380"/>
        <v/>
      </c>
      <c r="AI370" s="36">
        <f t="shared" si="381"/>
        <v>-1</v>
      </c>
      <c r="AJ370" s="36">
        <f t="shared" si="382"/>
        <v>-1</v>
      </c>
      <c r="AK370" s="36">
        <f t="shared" si="383"/>
        <v>-1</v>
      </c>
      <c r="AL370" s="36"/>
      <c r="AM370" s="36" t="str">
        <f t="shared" si="404"/>
        <v/>
      </c>
      <c r="AN370" s="288" t="str">
        <f t="shared" si="384"/>
        <v/>
      </c>
      <c r="AO370" s="288" t="str">
        <f t="shared" si="385"/>
        <v/>
      </c>
      <c r="AP370" s="288" t="str">
        <f t="shared" si="386"/>
        <v/>
      </c>
      <c r="AQ370" s="36">
        <f t="shared" ref="AQ370:AS370" si="452">AQ369</f>
        <v>3.3793103448275866E-2</v>
      </c>
      <c r="AR370" s="36">
        <f t="shared" si="452"/>
        <v>5.9329425287356324E-2</v>
      </c>
      <c r="AS370" s="36">
        <f t="shared" si="452"/>
        <v>8.4865747126436797E-2</v>
      </c>
      <c r="AT370" s="288">
        <f t="shared" si="388"/>
        <v>0.11040206896551726</v>
      </c>
    </row>
    <row r="371" spans="2:46">
      <c r="B371" s="287"/>
      <c r="C371" s="707"/>
      <c r="D371" s="707"/>
      <c r="E371" s="707"/>
      <c r="F371" s="707"/>
      <c r="G371" s="707"/>
      <c r="H371" s="707"/>
      <c r="I371" s="707"/>
      <c r="J371" s="707"/>
      <c r="K371" s="707"/>
      <c r="L371" s="707"/>
      <c r="M371" s="707"/>
      <c r="N371" s="707"/>
      <c r="O371" s="707"/>
      <c r="P371" s="707"/>
      <c r="Q371" s="707"/>
      <c r="R371" s="707"/>
      <c r="S371" s="707"/>
      <c r="T371" s="707"/>
      <c r="U371" s="707"/>
      <c r="V371" s="707"/>
      <c r="W371" s="707"/>
      <c r="X371" s="707"/>
      <c r="Y371" s="707"/>
      <c r="Z371" s="707"/>
      <c r="AA371" s="36" t="str">
        <f t="shared" si="402"/>
        <v/>
      </c>
      <c r="AB371" s="288" t="str">
        <f t="shared" si="374"/>
        <v/>
      </c>
      <c r="AC371" s="288" t="str">
        <f t="shared" si="375"/>
        <v/>
      </c>
      <c r="AD371" s="288" t="str">
        <f t="shared" si="376"/>
        <v/>
      </c>
      <c r="AE371" s="288" t="str">
        <f t="shared" si="377"/>
        <v/>
      </c>
      <c r="AF371" s="288" t="str">
        <f t="shared" si="378"/>
        <v/>
      </c>
      <c r="AG371" s="288" t="str">
        <f t="shared" si="379"/>
        <v/>
      </c>
      <c r="AH371" s="288" t="str">
        <f t="shared" si="380"/>
        <v/>
      </c>
      <c r="AI371" s="36">
        <f t="shared" si="381"/>
        <v>-1</v>
      </c>
      <c r="AJ371" s="36">
        <f t="shared" si="382"/>
        <v>-1</v>
      </c>
      <c r="AK371" s="36">
        <f t="shared" si="383"/>
        <v>-1</v>
      </c>
      <c r="AL371" s="36"/>
      <c r="AM371" s="36" t="str">
        <f t="shared" si="404"/>
        <v/>
      </c>
      <c r="AN371" s="288" t="str">
        <f t="shared" si="384"/>
        <v/>
      </c>
      <c r="AO371" s="288" t="str">
        <f t="shared" si="385"/>
        <v/>
      </c>
      <c r="AP371" s="288" t="str">
        <f t="shared" si="386"/>
        <v/>
      </c>
      <c r="AQ371" s="36">
        <f t="shared" ref="AQ371:AS371" si="453">AQ370</f>
        <v>3.3793103448275866E-2</v>
      </c>
      <c r="AR371" s="36">
        <f t="shared" si="453"/>
        <v>5.9329425287356324E-2</v>
      </c>
      <c r="AS371" s="36">
        <f t="shared" si="453"/>
        <v>8.4865747126436797E-2</v>
      </c>
      <c r="AT371" s="288">
        <f t="shared" si="388"/>
        <v>0.11040206896551726</v>
      </c>
    </row>
    <row r="372" spans="2:46">
      <c r="B372" s="287"/>
      <c r="C372" s="707"/>
      <c r="D372" s="707"/>
      <c r="E372" s="707"/>
      <c r="F372" s="707"/>
      <c r="G372" s="707"/>
      <c r="H372" s="707"/>
      <c r="I372" s="707"/>
      <c r="J372" s="707"/>
      <c r="K372" s="707"/>
      <c r="L372" s="707"/>
      <c r="M372" s="707"/>
      <c r="N372" s="707"/>
      <c r="O372" s="707"/>
      <c r="P372" s="707"/>
      <c r="Q372" s="707"/>
      <c r="R372" s="707"/>
      <c r="S372" s="707"/>
      <c r="T372" s="707"/>
      <c r="U372" s="707"/>
      <c r="V372" s="707"/>
      <c r="W372" s="707"/>
      <c r="X372" s="707"/>
      <c r="Y372" s="707"/>
      <c r="Z372" s="707"/>
      <c r="AA372" s="36" t="str">
        <f t="shared" si="402"/>
        <v/>
      </c>
      <c r="AB372" s="288" t="str">
        <f t="shared" ref="AB372:AB435" si="454">IF(AA372="", "", AE372-(3*STDEV(AA:AA)))</f>
        <v/>
      </c>
      <c r="AC372" s="288" t="str">
        <f t="shared" ref="AC372:AC435" si="455">IF(AA372="", "",AE372-(2*STDEV(AA:AA)))</f>
        <v/>
      </c>
      <c r="AD372" s="288" t="str">
        <f t="shared" ref="AD372:AD435" si="456">IF(AA372="", "", AE372-STDEV(AA:AA))</f>
        <v/>
      </c>
      <c r="AE372" s="288" t="str">
        <f t="shared" ref="AE372:AE435" si="457">IF(AA372="", "", AVERAGE(AA:AA))</f>
        <v/>
      </c>
      <c r="AF372" s="288" t="str">
        <f t="shared" ref="AF372:AF435" si="458">IF(AC372="", "", AE372+STDEV(AA:AA))</f>
        <v/>
      </c>
      <c r="AG372" s="288" t="str">
        <f t="shared" ref="AG372:AG435" si="459">IF(AE372="", "",AE372+(2*STDEV(AA:AA)))</f>
        <v/>
      </c>
      <c r="AH372" s="288" t="str">
        <f t="shared" ref="AH372:AH435" si="460">IF(AG372="", "", AE372+(3*STDEV(AA:AA)))</f>
        <v/>
      </c>
      <c r="AI372" s="36">
        <f t="shared" ref="AI372:AI435" si="461">IF(OR(AA372&gt;AH372,AA372&lt;AB372),AA372,-1)</f>
        <v>-1</v>
      </c>
      <c r="AJ372" s="36">
        <f t="shared" ref="AJ372:AJ435" si="462">IF(IF(AA371&gt;AG371,1,0)+IF(AA372&gt;AG372,1,0)+IF(AA373&gt;AG373,1,0)+IF(AA371&lt;AC371,1,0)+IF(AA372&lt;AC372,1,0)+IF(AA373&lt;AC373,1,0)&gt;=2,AA372,-1)</f>
        <v>-1</v>
      </c>
      <c r="AK372" s="36">
        <f t="shared" ref="AK372:AK435" si="463">IF(IF(AA370&lt;AD370,1,0)+IF(AA372&lt;AD372,1,0)+IF(AA373&lt;AD373,1,0)+IF(AA374&lt;AD374,1,0)+IF(AA371&lt;AD371,1,0)+IF(AA370&gt;AF370,1,0)+IF(AA371&gt;AF371,1,0)+IF(AA372&gt;AF372,1,0)+IF(AA373&gt;AF373,1,0)+IF(AA374&gt;AF374,1,0)&gt;4,AA372,-1)</f>
        <v>-1</v>
      </c>
      <c r="AL372" s="36"/>
      <c r="AM372" s="36" t="str">
        <f t="shared" si="404"/>
        <v/>
      </c>
      <c r="AN372" s="288" t="str">
        <f t="shared" ref="AN372:AN435" si="464">IF(AM372="", "", AQ372-(3*STDEV(AM:AM)))</f>
        <v/>
      </c>
      <c r="AO372" s="288" t="str">
        <f t="shared" ref="AO372:AO435" si="465">IF(AM372="", "", IF($AQ372-(2*(($AT372-$AQ372)/3))&lt;0, 0, $AQ372-(2*(($AT372-$AQ372)/3))))</f>
        <v/>
      </c>
      <c r="AP372" s="288" t="str">
        <f t="shared" ref="AP372:AP435" si="466">IF(AM372="", "", IF($AQ372-(($AT372-$AQ372)/3)&lt;0, 0, $AQ371-(($AT371-$AQ371)/3)))</f>
        <v/>
      </c>
      <c r="AQ372" s="36">
        <f t="shared" ref="AQ372:AS372" si="467">AQ371</f>
        <v>3.3793103448275866E-2</v>
      </c>
      <c r="AR372" s="36">
        <f t="shared" si="467"/>
        <v>5.9329425287356324E-2</v>
      </c>
      <c r="AS372" s="36">
        <f t="shared" si="467"/>
        <v>8.4865747126436797E-2</v>
      </c>
      <c r="AT372" s="288">
        <f t="shared" ref="AT372:AT435" si="468">$BM$3*AQ372</f>
        <v>0.11040206896551726</v>
      </c>
    </row>
    <row r="373" spans="2:46">
      <c r="B373" s="287"/>
      <c r="C373" s="707"/>
      <c r="D373" s="707"/>
      <c r="E373" s="707"/>
      <c r="F373" s="707"/>
      <c r="G373" s="707"/>
      <c r="H373" s="707"/>
      <c r="I373" s="707"/>
      <c r="J373" s="707"/>
      <c r="K373" s="707"/>
      <c r="L373" s="707"/>
      <c r="M373" s="707"/>
      <c r="N373" s="707"/>
      <c r="O373" s="707"/>
      <c r="P373" s="707"/>
      <c r="Q373" s="707"/>
      <c r="R373" s="707"/>
      <c r="S373" s="707"/>
      <c r="T373" s="707"/>
      <c r="U373" s="707"/>
      <c r="V373" s="707"/>
      <c r="W373" s="707"/>
      <c r="X373" s="707"/>
      <c r="Y373" s="707"/>
      <c r="Z373" s="707"/>
      <c r="AA373" s="36" t="str">
        <f t="shared" si="402"/>
        <v/>
      </c>
      <c r="AB373" s="288" t="str">
        <f t="shared" si="454"/>
        <v/>
      </c>
      <c r="AC373" s="288" t="str">
        <f t="shared" si="455"/>
        <v/>
      </c>
      <c r="AD373" s="288" t="str">
        <f t="shared" si="456"/>
        <v/>
      </c>
      <c r="AE373" s="288" t="str">
        <f t="shared" si="457"/>
        <v/>
      </c>
      <c r="AF373" s="288" t="str">
        <f t="shared" si="458"/>
        <v/>
      </c>
      <c r="AG373" s="288" t="str">
        <f t="shared" si="459"/>
        <v/>
      </c>
      <c r="AH373" s="288" t="str">
        <f t="shared" si="460"/>
        <v/>
      </c>
      <c r="AI373" s="36">
        <f t="shared" si="461"/>
        <v>-1</v>
      </c>
      <c r="AJ373" s="36">
        <f t="shared" si="462"/>
        <v>-1</v>
      </c>
      <c r="AK373" s="36">
        <f t="shared" si="463"/>
        <v>-1</v>
      </c>
      <c r="AL373" s="36"/>
      <c r="AM373" s="36" t="str">
        <f t="shared" si="404"/>
        <v/>
      </c>
      <c r="AN373" s="288" t="str">
        <f t="shared" si="464"/>
        <v/>
      </c>
      <c r="AO373" s="288" t="str">
        <f t="shared" si="465"/>
        <v/>
      </c>
      <c r="AP373" s="288" t="str">
        <f t="shared" si="466"/>
        <v/>
      </c>
      <c r="AQ373" s="36">
        <f t="shared" ref="AQ373:AS373" si="469">AQ372</f>
        <v>3.3793103448275866E-2</v>
      </c>
      <c r="AR373" s="36">
        <f t="shared" si="469"/>
        <v>5.9329425287356324E-2</v>
      </c>
      <c r="AS373" s="36">
        <f t="shared" si="469"/>
        <v>8.4865747126436797E-2</v>
      </c>
      <c r="AT373" s="288">
        <f t="shared" si="468"/>
        <v>0.11040206896551726</v>
      </c>
    </row>
    <row r="374" spans="2:46">
      <c r="B374" s="287"/>
      <c r="C374" s="707"/>
      <c r="D374" s="707"/>
      <c r="E374" s="707"/>
      <c r="F374" s="707"/>
      <c r="G374" s="707"/>
      <c r="H374" s="707"/>
      <c r="I374" s="707"/>
      <c r="J374" s="707"/>
      <c r="K374" s="707"/>
      <c r="L374" s="707"/>
      <c r="M374" s="707"/>
      <c r="N374" s="707"/>
      <c r="O374" s="707"/>
      <c r="P374" s="707"/>
      <c r="Q374" s="707"/>
      <c r="R374" s="707"/>
      <c r="S374" s="707"/>
      <c r="T374" s="707"/>
      <c r="U374" s="707"/>
      <c r="V374" s="707"/>
      <c r="W374" s="707"/>
      <c r="X374" s="707"/>
      <c r="Y374" s="707"/>
      <c r="Z374" s="707"/>
      <c r="AA374" s="36" t="str">
        <f t="shared" si="402"/>
        <v/>
      </c>
      <c r="AB374" s="288" t="str">
        <f t="shared" si="454"/>
        <v/>
      </c>
      <c r="AC374" s="288" t="str">
        <f t="shared" si="455"/>
        <v/>
      </c>
      <c r="AD374" s="288" t="str">
        <f t="shared" si="456"/>
        <v/>
      </c>
      <c r="AE374" s="288" t="str">
        <f t="shared" si="457"/>
        <v/>
      </c>
      <c r="AF374" s="288" t="str">
        <f t="shared" si="458"/>
        <v/>
      </c>
      <c r="AG374" s="288" t="str">
        <f t="shared" si="459"/>
        <v/>
      </c>
      <c r="AH374" s="288" t="str">
        <f t="shared" si="460"/>
        <v/>
      </c>
      <c r="AI374" s="36">
        <f t="shared" si="461"/>
        <v>-1</v>
      </c>
      <c r="AJ374" s="36">
        <f t="shared" si="462"/>
        <v>-1</v>
      </c>
      <c r="AK374" s="36">
        <f t="shared" si="463"/>
        <v>-1</v>
      </c>
      <c r="AL374" s="36"/>
      <c r="AM374" s="36" t="str">
        <f t="shared" si="404"/>
        <v/>
      </c>
      <c r="AN374" s="288" t="str">
        <f t="shared" si="464"/>
        <v/>
      </c>
      <c r="AO374" s="288" t="str">
        <f t="shared" si="465"/>
        <v/>
      </c>
      <c r="AP374" s="288" t="str">
        <f t="shared" si="466"/>
        <v/>
      </c>
      <c r="AQ374" s="36">
        <f t="shared" ref="AQ374:AS374" si="470">AQ373</f>
        <v>3.3793103448275866E-2</v>
      </c>
      <c r="AR374" s="36">
        <f t="shared" si="470"/>
        <v>5.9329425287356324E-2</v>
      </c>
      <c r="AS374" s="36">
        <f t="shared" si="470"/>
        <v>8.4865747126436797E-2</v>
      </c>
      <c r="AT374" s="288">
        <f t="shared" si="468"/>
        <v>0.11040206896551726</v>
      </c>
    </row>
    <row r="375" spans="2:46">
      <c r="B375" s="287"/>
      <c r="C375" s="707"/>
      <c r="D375" s="707"/>
      <c r="E375" s="707"/>
      <c r="F375" s="707"/>
      <c r="G375" s="707"/>
      <c r="H375" s="707"/>
      <c r="I375" s="707"/>
      <c r="J375" s="707"/>
      <c r="K375" s="707"/>
      <c r="L375" s="707"/>
      <c r="M375" s="707"/>
      <c r="N375" s="707"/>
      <c r="O375" s="707"/>
      <c r="P375" s="707"/>
      <c r="Q375" s="707"/>
      <c r="R375" s="707"/>
      <c r="S375" s="707"/>
      <c r="T375" s="707"/>
      <c r="U375" s="707"/>
      <c r="V375" s="707"/>
      <c r="W375" s="707"/>
      <c r="X375" s="707"/>
      <c r="Y375" s="707"/>
      <c r="Z375" s="707"/>
      <c r="AA375" s="36" t="str">
        <f t="shared" si="402"/>
        <v/>
      </c>
      <c r="AB375" s="288" t="str">
        <f t="shared" si="454"/>
        <v/>
      </c>
      <c r="AC375" s="288" t="str">
        <f t="shared" si="455"/>
        <v/>
      </c>
      <c r="AD375" s="288" t="str">
        <f t="shared" si="456"/>
        <v/>
      </c>
      <c r="AE375" s="288" t="str">
        <f t="shared" si="457"/>
        <v/>
      </c>
      <c r="AF375" s="288" t="str">
        <f t="shared" si="458"/>
        <v/>
      </c>
      <c r="AG375" s="288" t="str">
        <f t="shared" si="459"/>
        <v/>
      </c>
      <c r="AH375" s="288" t="str">
        <f t="shared" si="460"/>
        <v/>
      </c>
      <c r="AI375" s="36">
        <f t="shared" si="461"/>
        <v>-1</v>
      </c>
      <c r="AJ375" s="36">
        <f t="shared" si="462"/>
        <v>-1</v>
      </c>
      <c r="AK375" s="36">
        <f t="shared" si="463"/>
        <v>-1</v>
      </c>
      <c r="AL375" s="36"/>
      <c r="AM375" s="36" t="str">
        <f t="shared" si="404"/>
        <v/>
      </c>
      <c r="AN375" s="288" t="str">
        <f t="shared" si="464"/>
        <v/>
      </c>
      <c r="AO375" s="288" t="str">
        <f t="shared" si="465"/>
        <v/>
      </c>
      <c r="AP375" s="288" t="str">
        <f t="shared" si="466"/>
        <v/>
      </c>
      <c r="AQ375" s="36">
        <f t="shared" ref="AQ375:AS375" si="471">AQ374</f>
        <v>3.3793103448275866E-2</v>
      </c>
      <c r="AR375" s="36">
        <f t="shared" si="471"/>
        <v>5.9329425287356324E-2</v>
      </c>
      <c r="AS375" s="36">
        <f t="shared" si="471"/>
        <v>8.4865747126436797E-2</v>
      </c>
      <c r="AT375" s="288">
        <f t="shared" si="468"/>
        <v>0.11040206896551726</v>
      </c>
    </row>
    <row r="376" spans="2:46">
      <c r="B376" s="287"/>
      <c r="C376" s="707"/>
      <c r="D376" s="707"/>
      <c r="E376" s="707"/>
      <c r="F376" s="707"/>
      <c r="G376" s="707"/>
      <c r="H376" s="707"/>
      <c r="I376" s="707"/>
      <c r="J376" s="707"/>
      <c r="K376" s="707"/>
      <c r="L376" s="707"/>
      <c r="M376" s="707"/>
      <c r="N376" s="707"/>
      <c r="O376" s="707"/>
      <c r="P376" s="707"/>
      <c r="Q376" s="707"/>
      <c r="R376" s="707"/>
      <c r="S376" s="707"/>
      <c r="T376" s="707"/>
      <c r="U376" s="707"/>
      <c r="V376" s="707"/>
      <c r="W376" s="707"/>
      <c r="X376" s="707"/>
      <c r="Y376" s="707"/>
      <c r="Z376" s="707"/>
      <c r="AA376" s="36" t="str">
        <f t="shared" si="402"/>
        <v/>
      </c>
      <c r="AB376" s="288" t="str">
        <f t="shared" si="454"/>
        <v/>
      </c>
      <c r="AC376" s="288" t="str">
        <f t="shared" si="455"/>
        <v/>
      </c>
      <c r="AD376" s="288" t="str">
        <f t="shared" si="456"/>
        <v/>
      </c>
      <c r="AE376" s="288" t="str">
        <f t="shared" si="457"/>
        <v/>
      </c>
      <c r="AF376" s="288" t="str">
        <f t="shared" si="458"/>
        <v/>
      </c>
      <c r="AG376" s="288" t="str">
        <f t="shared" si="459"/>
        <v/>
      </c>
      <c r="AH376" s="288" t="str">
        <f t="shared" si="460"/>
        <v/>
      </c>
      <c r="AI376" s="36">
        <f t="shared" si="461"/>
        <v>-1</v>
      </c>
      <c r="AJ376" s="36">
        <f t="shared" si="462"/>
        <v>-1</v>
      </c>
      <c r="AK376" s="36">
        <f t="shared" si="463"/>
        <v>-1</v>
      </c>
      <c r="AL376" s="36"/>
      <c r="AM376" s="36" t="str">
        <f t="shared" si="404"/>
        <v/>
      </c>
      <c r="AN376" s="288" t="str">
        <f t="shared" si="464"/>
        <v/>
      </c>
      <c r="AO376" s="288" t="str">
        <f t="shared" si="465"/>
        <v/>
      </c>
      <c r="AP376" s="288" t="str">
        <f t="shared" si="466"/>
        <v/>
      </c>
      <c r="AQ376" s="36">
        <f t="shared" ref="AQ376:AS376" si="472">AQ375</f>
        <v>3.3793103448275866E-2</v>
      </c>
      <c r="AR376" s="36">
        <f t="shared" si="472"/>
        <v>5.9329425287356324E-2</v>
      </c>
      <c r="AS376" s="36">
        <f t="shared" si="472"/>
        <v>8.4865747126436797E-2</v>
      </c>
      <c r="AT376" s="288">
        <f t="shared" si="468"/>
        <v>0.11040206896551726</v>
      </c>
    </row>
    <row r="377" spans="2:46">
      <c r="B377" s="287"/>
      <c r="C377" s="707"/>
      <c r="D377" s="707"/>
      <c r="E377" s="707"/>
      <c r="F377" s="707"/>
      <c r="G377" s="707"/>
      <c r="H377" s="707"/>
      <c r="I377" s="707"/>
      <c r="J377" s="707"/>
      <c r="K377" s="707"/>
      <c r="L377" s="707"/>
      <c r="M377" s="707"/>
      <c r="N377" s="707"/>
      <c r="O377" s="707"/>
      <c r="P377" s="707"/>
      <c r="Q377" s="707"/>
      <c r="R377" s="707"/>
      <c r="S377" s="707"/>
      <c r="T377" s="707"/>
      <c r="U377" s="707"/>
      <c r="V377" s="707"/>
      <c r="W377" s="707"/>
      <c r="X377" s="707"/>
      <c r="Y377" s="707"/>
      <c r="Z377" s="707"/>
      <c r="AA377" s="36" t="str">
        <f t="shared" si="402"/>
        <v/>
      </c>
      <c r="AB377" s="288" t="str">
        <f t="shared" si="454"/>
        <v/>
      </c>
      <c r="AC377" s="288" t="str">
        <f t="shared" si="455"/>
        <v/>
      </c>
      <c r="AD377" s="288" t="str">
        <f t="shared" si="456"/>
        <v/>
      </c>
      <c r="AE377" s="288" t="str">
        <f t="shared" si="457"/>
        <v/>
      </c>
      <c r="AF377" s="288" t="str">
        <f t="shared" si="458"/>
        <v/>
      </c>
      <c r="AG377" s="288" t="str">
        <f t="shared" si="459"/>
        <v/>
      </c>
      <c r="AH377" s="288" t="str">
        <f t="shared" si="460"/>
        <v/>
      </c>
      <c r="AI377" s="36">
        <f t="shared" si="461"/>
        <v>-1</v>
      </c>
      <c r="AJ377" s="36">
        <f t="shared" si="462"/>
        <v>-1</v>
      </c>
      <c r="AK377" s="36">
        <f t="shared" si="463"/>
        <v>-1</v>
      </c>
      <c r="AL377" s="36"/>
      <c r="AM377" s="36" t="str">
        <f t="shared" si="404"/>
        <v/>
      </c>
      <c r="AN377" s="288" t="str">
        <f t="shared" si="464"/>
        <v/>
      </c>
      <c r="AO377" s="288" t="str">
        <f t="shared" si="465"/>
        <v/>
      </c>
      <c r="AP377" s="288" t="str">
        <f t="shared" si="466"/>
        <v/>
      </c>
      <c r="AQ377" s="36">
        <f t="shared" ref="AQ377:AS377" si="473">AQ376</f>
        <v>3.3793103448275866E-2</v>
      </c>
      <c r="AR377" s="36">
        <f t="shared" si="473"/>
        <v>5.9329425287356324E-2</v>
      </c>
      <c r="AS377" s="36">
        <f t="shared" si="473"/>
        <v>8.4865747126436797E-2</v>
      </c>
      <c r="AT377" s="288">
        <f t="shared" si="468"/>
        <v>0.11040206896551726</v>
      </c>
    </row>
    <row r="378" spans="2:46">
      <c r="B378" s="287"/>
      <c r="C378" s="707"/>
      <c r="D378" s="707"/>
      <c r="E378" s="707"/>
      <c r="F378" s="707"/>
      <c r="G378" s="707"/>
      <c r="H378" s="707"/>
      <c r="I378" s="707"/>
      <c r="J378" s="707"/>
      <c r="K378" s="707"/>
      <c r="L378" s="707"/>
      <c r="M378" s="707"/>
      <c r="N378" s="707"/>
      <c r="O378" s="707"/>
      <c r="P378" s="707"/>
      <c r="Q378" s="707"/>
      <c r="R378" s="707"/>
      <c r="S378" s="707"/>
      <c r="T378" s="707"/>
      <c r="U378" s="707"/>
      <c r="V378" s="707"/>
      <c r="W378" s="707"/>
      <c r="X378" s="707"/>
      <c r="Y378" s="707"/>
      <c r="Z378" s="707"/>
      <c r="AA378" s="36" t="str">
        <f t="shared" si="402"/>
        <v/>
      </c>
      <c r="AB378" s="288" t="str">
        <f t="shared" si="454"/>
        <v/>
      </c>
      <c r="AC378" s="288" t="str">
        <f t="shared" si="455"/>
        <v/>
      </c>
      <c r="AD378" s="288" t="str">
        <f t="shared" si="456"/>
        <v/>
      </c>
      <c r="AE378" s="288" t="str">
        <f t="shared" si="457"/>
        <v/>
      </c>
      <c r="AF378" s="288" t="str">
        <f t="shared" si="458"/>
        <v/>
      </c>
      <c r="AG378" s="288" t="str">
        <f t="shared" si="459"/>
        <v/>
      </c>
      <c r="AH378" s="288" t="str">
        <f t="shared" si="460"/>
        <v/>
      </c>
      <c r="AI378" s="36">
        <f t="shared" si="461"/>
        <v>-1</v>
      </c>
      <c r="AJ378" s="36">
        <f t="shared" si="462"/>
        <v>-1</v>
      </c>
      <c r="AK378" s="36">
        <f t="shared" si="463"/>
        <v>-1</v>
      </c>
      <c r="AL378" s="36"/>
      <c r="AM378" s="36" t="str">
        <f t="shared" si="404"/>
        <v/>
      </c>
      <c r="AN378" s="288" t="str">
        <f t="shared" si="464"/>
        <v/>
      </c>
      <c r="AO378" s="288" t="str">
        <f t="shared" si="465"/>
        <v/>
      </c>
      <c r="AP378" s="288" t="str">
        <f t="shared" si="466"/>
        <v/>
      </c>
      <c r="AQ378" s="36">
        <f t="shared" ref="AQ378:AS378" si="474">AQ377</f>
        <v>3.3793103448275866E-2</v>
      </c>
      <c r="AR378" s="36">
        <f t="shared" si="474"/>
        <v>5.9329425287356324E-2</v>
      </c>
      <c r="AS378" s="36">
        <f t="shared" si="474"/>
        <v>8.4865747126436797E-2</v>
      </c>
      <c r="AT378" s="288">
        <f t="shared" si="468"/>
        <v>0.11040206896551726</v>
      </c>
    </row>
    <row r="379" spans="2:46">
      <c r="B379" s="287"/>
      <c r="C379" s="707"/>
      <c r="D379" s="707"/>
      <c r="E379" s="707"/>
      <c r="F379" s="707"/>
      <c r="G379" s="707"/>
      <c r="H379" s="707"/>
      <c r="I379" s="707"/>
      <c r="J379" s="707"/>
      <c r="K379" s="707"/>
      <c r="L379" s="707"/>
      <c r="M379" s="707"/>
      <c r="N379" s="707"/>
      <c r="O379" s="707"/>
      <c r="P379" s="707"/>
      <c r="Q379" s="707"/>
      <c r="R379" s="707"/>
      <c r="S379" s="707"/>
      <c r="T379" s="707"/>
      <c r="U379" s="707"/>
      <c r="V379" s="707"/>
      <c r="W379" s="707"/>
      <c r="X379" s="707"/>
      <c r="Y379" s="707"/>
      <c r="Z379" s="707"/>
      <c r="AA379" s="36" t="str">
        <f t="shared" si="402"/>
        <v/>
      </c>
      <c r="AB379" s="288" t="str">
        <f t="shared" si="454"/>
        <v/>
      </c>
      <c r="AC379" s="288" t="str">
        <f t="shared" si="455"/>
        <v/>
      </c>
      <c r="AD379" s="288" t="str">
        <f t="shared" si="456"/>
        <v/>
      </c>
      <c r="AE379" s="288" t="str">
        <f t="shared" si="457"/>
        <v/>
      </c>
      <c r="AF379" s="288" t="str">
        <f t="shared" si="458"/>
        <v/>
      </c>
      <c r="AG379" s="288" t="str">
        <f t="shared" si="459"/>
        <v/>
      </c>
      <c r="AH379" s="288" t="str">
        <f t="shared" si="460"/>
        <v/>
      </c>
      <c r="AI379" s="36">
        <f t="shared" si="461"/>
        <v>-1</v>
      </c>
      <c r="AJ379" s="36">
        <f t="shared" si="462"/>
        <v>-1</v>
      </c>
      <c r="AK379" s="36">
        <f t="shared" si="463"/>
        <v>-1</v>
      </c>
      <c r="AL379" s="36"/>
      <c r="AM379" s="36" t="str">
        <f t="shared" si="404"/>
        <v/>
      </c>
      <c r="AN379" s="288" t="str">
        <f t="shared" si="464"/>
        <v/>
      </c>
      <c r="AO379" s="288" t="str">
        <f t="shared" si="465"/>
        <v/>
      </c>
      <c r="AP379" s="288" t="str">
        <f t="shared" si="466"/>
        <v/>
      </c>
      <c r="AQ379" s="36">
        <f t="shared" ref="AQ379:AS379" si="475">AQ378</f>
        <v>3.3793103448275866E-2</v>
      </c>
      <c r="AR379" s="36">
        <f t="shared" si="475"/>
        <v>5.9329425287356324E-2</v>
      </c>
      <c r="AS379" s="36">
        <f t="shared" si="475"/>
        <v>8.4865747126436797E-2</v>
      </c>
      <c r="AT379" s="288">
        <f t="shared" si="468"/>
        <v>0.11040206896551726</v>
      </c>
    </row>
    <row r="380" spans="2:46">
      <c r="B380" s="287"/>
      <c r="C380" s="707"/>
      <c r="D380" s="707"/>
      <c r="E380" s="707"/>
      <c r="F380" s="707"/>
      <c r="G380" s="707"/>
      <c r="H380" s="707"/>
      <c r="I380" s="707"/>
      <c r="J380" s="707"/>
      <c r="K380" s="707"/>
      <c r="L380" s="707"/>
      <c r="M380" s="707"/>
      <c r="N380" s="707"/>
      <c r="O380" s="707"/>
      <c r="P380" s="707"/>
      <c r="Q380" s="707"/>
      <c r="R380" s="707"/>
      <c r="S380" s="707"/>
      <c r="T380" s="707"/>
      <c r="U380" s="707"/>
      <c r="V380" s="707"/>
      <c r="W380" s="707"/>
      <c r="X380" s="707"/>
      <c r="Y380" s="707"/>
      <c r="Z380" s="707"/>
      <c r="AA380" s="36" t="str">
        <f t="shared" si="402"/>
        <v/>
      </c>
      <c r="AB380" s="288" t="str">
        <f t="shared" si="454"/>
        <v/>
      </c>
      <c r="AC380" s="288" t="str">
        <f t="shared" si="455"/>
        <v/>
      </c>
      <c r="AD380" s="288" t="str">
        <f t="shared" si="456"/>
        <v/>
      </c>
      <c r="AE380" s="288" t="str">
        <f t="shared" si="457"/>
        <v/>
      </c>
      <c r="AF380" s="288" t="str">
        <f t="shared" si="458"/>
        <v/>
      </c>
      <c r="AG380" s="288" t="str">
        <f t="shared" si="459"/>
        <v/>
      </c>
      <c r="AH380" s="288" t="str">
        <f t="shared" si="460"/>
        <v/>
      </c>
      <c r="AI380" s="36">
        <f t="shared" si="461"/>
        <v>-1</v>
      </c>
      <c r="AJ380" s="36">
        <f t="shared" si="462"/>
        <v>-1</v>
      </c>
      <c r="AK380" s="36">
        <f t="shared" si="463"/>
        <v>-1</v>
      </c>
      <c r="AL380" s="36"/>
      <c r="AM380" s="36" t="str">
        <f t="shared" si="404"/>
        <v/>
      </c>
      <c r="AN380" s="288" t="str">
        <f t="shared" si="464"/>
        <v/>
      </c>
      <c r="AO380" s="288" t="str">
        <f t="shared" si="465"/>
        <v/>
      </c>
      <c r="AP380" s="288" t="str">
        <f t="shared" si="466"/>
        <v/>
      </c>
      <c r="AQ380" s="36">
        <f t="shared" ref="AQ380:AS380" si="476">AQ379</f>
        <v>3.3793103448275866E-2</v>
      </c>
      <c r="AR380" s="36">
        <f t="shared" si="476"/>
        <v>5.9329425287356324E-2</v>
      </c>
      <c r="AS380" s="36">
        <f t="shared" si="476"/>
        <v>8.4865747126436797E-2</v>
      </c>
      <c r="AT380" s="288">
        <f t="shared" si="468"/>
        <v>0.11040206896551726</v>
      </c>
    </row>
    <row r="381" spans="2:46">
      <c r="B381" s="287"/>
      <c r="C381" s="707"/>
      <c r="D381" s="707"/>
      <c r="E381" s="707"/>
      <c r="F381" s="707"/>
      <c r="G381" s="707"/>
      <c r="H381" s="707"/>
      <c r="I381" s="707"/>
      <c r="J381" s="707"/>
      <c r="K381" s="707"/>
      <c r="L381" s="707"/>
      <c r="M381" s="707"/>
      <c r="N381" s="707"/>
      <c r="O381" s="707"/>
      <c r="P381" s="707"/>
      <c r="Q381" s="707"/>
      <c r="R381" s="707"/>
      <c r="S381" s="707"/>
      <c r="T381" s="707"/>
      <c r="U381" s="707"/>
      <c r="V381" s="707"/>
      <c r="W381" s="707"/>
      <c r="X381" s="707"/>
      <c r="Y381" s="707"/>
      <c r="Z381" s="707"/>
      <c r="AA381" s="36" t="str">
        <f t="shared" si="402"/>
        <v/>
      </c>
      <c r="AB381" s="288" t="str">
        <f t="shared" si="454"/>
        <v/>
      </c>
      <c r="AC381" s="288" t="str">
        <f t="shared" si="455"/>
        <v/>
      </c>
      <c r="AD381" s="288" t="str">
        <f t="shared" si="456"/>
        <v/>
      </c>
      <c r="AE381" s="288" t="str">
        <f t="shared" si="457"/>
        <v/>
      </c>
      <c r="AF381" s="288" t="str">
        <f t="shared" si="458"/>
        <v/>
      </c>
      <c r="AG381" s="288" t="str">
        <f t="shared" si="459"/>
        <v/>
      </c>
      <c r="AH381" s="288" t="str">
        <f t="shared" si="460"/>
        <v/>
      </c>
      <c r="AI381" s="36">
        <f t="shared" si="461"/>
        <v>-1</v>
      </c>
      <c r="AJ381" s="36">
        <f t="shared" si="462"/>
        <v>-1</v>
      </c>
      <c r="AK381" s="36">
        <f t="shared" si="463"/>
        <v>-1</v>
      </c>
      <c r="AL381" s="36"/>
      <c r="AM381" s="36" t="str">
        <f t="shared" si="404"/>
        <v/>
      </c>
      <c r="AN381" s="288" t="str">
        <f t="shared" si="464"/>
        <v/>
      </c>
      <c r="AO381" s="288" t="str">
        <f t="shared" si="465"/>
        <v/>
      </c>
      <c r="AP381" s="288" t="str">
        <f t="shared" si="466"/>
        <v/>
      </c>
      <c r="AQ381" s="36">
        <f t="shared" ref="AQ381:AS381" si="477">AQ380</f>
        <v>3.3793103448275866E-2</v>
      </c>
      <c r="AR381" s="36">
        <f t="shared" si="477"/>
        <v>5.9329425287356324E-2</v>
      </c>
      <c r="AS381" s="36">
        <f t="shared" si="477"/>
        <v>8.4865747126436797E-2</v>
      </c>
      <c r="AT381" s="288">
        <f t="shared" si="468"/>
        <v>0.11040206896551726</v>
      </c>
    </row>
    <row r="382" spans="2:46">
      <c r="B382" s="287"/>
      <c r="C382" s="707"/>
      <c r="D382" s="707"/>
      <c r="E382" s="707"/>
      <c r="F382" s="707"/>
      <c r="G382" s="707"/>
      <c r="H382" s="707"/>
      <c r="I382" s="707"/>
      <c r="J382" s="707"/>
      <c r="K382" s="707"/>
      <c r="L382" s="707"/>
      <c r="M382" s="707"/>
      <c r="N382" s="707"/>
      <c r="O382" s="707"/>
      <c r="P382" s="707"/>
      <c r="Q382" s="707"/>
      <c r="R382" s="707"/>
      <c r="S382" s="707"/>
      <c r="T382" s="707"/>
      <c r="U382" s="707"/>
      <c r="V382" s="707"/>
      <c r="W382" s="707"/>
      <c r="X382" s="707"/>
      <c r="Y382" s="707"/>
      <c r="Z382" s="707"/>
      <c r="AA382" s="36" t="str">
        <f t="shared" si="402"/>
        <v/>
      </c>
      <c r="AB382" s="288" t="str">
        <f t="shared" si="454"/>
        <v/>
      </c>
      <c r="AC382" s="288" t="str">
        <f t="shared" si="455"/>
        <v/>
      </c>
      <c r="AD382" s="288" t="str">
        <f t="shared" si="456"/>
        <v/>
      </c>
      <c r="AE382" s="288" t="str">
        <f t="shared" si="457"/>
        <v/>
      </c>
      <c r="AF382" s="288" t="str">
        <f t="shared" si="458"/>
        <v/>
      </c>
      <c r="AG382" s="288" t="str">
        <f t="shared" si="459"/>
        <v/>
      </c>
      <c r="AH382" s="288" t="str">
        <f t="shared" si="460"/>
        <v/>
      </c>
      <c r="AI382" s="36">
        <f t="shared" si="461"/>
        <v>-1</v>
      </c>
      <c r="AJ382" s="36">
        <f t="shared" si="462"/>
        <v>-1</v>
      </c>
      <c r="AK382" s="36">
        <f t="shared" si="463"/>
        <v>-1</v>
      </c>
      <c r="AL382" s="36"/>
      <c r="AM382" s="36" t="str">
        <f t="shared" si="404"/>
        <v/>
      </c>
      <c r="AN382" s="288" t="str">
        <f t="shared" si="464"/>
        <v/>
      </c>
      <c r="AO382" s="288" t="str">
        <f t="shared" si="465"/>
        <v/>
      </c>
      <c r="AP382" s="288" t="str">
        <f t="shared" si="466"/>
        <v/>
      </c>
      <c r="AQ382" s="36">
        <f t="shared" ref="AQ382:AS382" si="478">AQ381</f>
        <v>3.3793103448275866E-2</v>
      </c>
      <c r="AR382" s="36">
        <f t="shared" si="478"/>
        <v>5.9329425287356324E-2</v>
      </c>
      <c r="AS382" s="36">
        <f t="shared" si="478"/>
        <v>8.4865747126436797E-2</v>
      </c>
      <c r="AT382" s="288">
        <f t="shared" si="468"/>
        <v>0.11040206896551726</v>
      </c>
    </row>
    <row r="383" spans="2:46">
      <c r="B383" s="287"/>
      <c r="C383" s="707"/>
      <c r="D383" s="707"/>
      <c r="E383" s="707"/>
      <c r="F383" s="707"/>
      <c r="G383" s="707"/>
      <c r="H383" s="707"/>
      <c r="I383" s="707"/>
      <c r="J383" s="707"/>
      <c r="K383" s="707"/>
      <c r="L383" s="707"/>
      <c r="M383" s="707"/>
      <c r="N383" s="707"/>
      <c r="O383" s="707"/>
      <c r="P383" s="707"/>
      <c r="Q383" s="707"/>
      <c r="R383" s="707"/>
      <c r="S383" s="707"/>
      <c r="T383" s="707"/>
      <c r="U383" s="707"/>
      <c r="V383" s="707"/>
      <c r="W383" s="707"/>
      <c r="X383" s="707"/>
      <c r="Y383" s="707"/>
      <c r="Z383" s="707"/>
      <c r="AA383" s="36" t="str">
        <f t="shared" si="402"/>
        <v/>
      </c>
      <c r="AB383" s="288" t="str">
        <f t="shared" si="454"/>
        <v/>
      </c>
      <c r="AC383" s="288" t="str">
        <f t="shared" si="455"/>
        <v/>
      </c>
      <c r="AD383" s="288" t="str">
        <f t="shared" si="456"/>
        <v/>
      </c>
      <c r="AE383" s="288" t="str">
        <f t="shared" si="457"/>
        <v/>
      </c>
      <c r="AF383" s="288" t="str">
        <f t="shared" si="458"/>
        <v/>
      </c>
      <c r="AG383" s="288" t="str">
        <f t="shared" si="459"/>
        <v/>
      </c>
      <c r="AH383" s="288" t="str">
        <f t="shared" si="460"/>
        <v/>
      </c>
      <c r="AI383" s="36">
        <f t="shared" si="461"/>
        <v>-1</v>
      </c>
      <c r="AJ383" s="36">
        <f t="shared" si="462"/>
        <v>-1</v>
      </c>
      <c r="AK383" s="36">
        <f t="shared" si="463"/>
        <v>-1</v>
      </c>
      <c r="AL383" s="36"/>
      <c r="AM383" s="36" t="str">
        <f t="shared" si="404"/>
        <v/>
      </c>
      <c r="AN383" s="288" t="str">
        <f t="shared" si="464"/>
        <v/>
      </c>
      <c r="AO383" s="288" t="str">
        <f t="shared" si="465"/>
        <v/>
      </c>
      <c r="AP383" s="288" t="str">
        <f t="shared" si="466"/>
        <v/>
      </c>
      <c r="AQ383" s="36">
        <f t="shared" ref="AQ383:AS383" si="479">AQ382</f>
        <v>3.3793103448275866E-2</v>
      </c>
      <c r="AR383" s="36">
        <f t="shared" si="479"/>
        <v>5.9329425287356324E-2</v>
      </c>
      <c r="AS383" s="36">
        <f t="shared" si="479"/>
        <v>8.4865747126436797E-2</v>
      </c>
      <c r="AT383" s="288">
        <f t="shared" si="468"/>
        <v>0.11040206896551726</v>
      </c>
    </row>
    <row r="384" spans="2:46">
      <c r="B384" s="287"/>
      <c r="C384" s="707"/>
      <c r="D384" s="707"/>
      <c r="E384" s="707"/>
      <c r="F384" s="707"/>
      <c r="G384" s="707"/>
      <c r="H384" s="707"/>
      <c r="I384" s="707"/>
      <c r="J384" s="707"/>
      <c r="K384" s="707"/>
      <c r="L384" s="707"/>
      <c r="M384" s="707"/>
      <c r="N384" s="707"/>
      <c r="O384" s="707"/>
      <c r="P384" s="707"/>
      <c r="Q384" s="707"/>
      <c r="R384" s="707"/>
      <c r="S384" s="707"/>
      <c r="T384" s="707"/>
      <c r="U384" s="707"/>
      <c r="V384" s="707"/>
      <c r="W384" s="707"/>
      <c r="X384" s="707"/>
      <c r="Y384" s="707"/>
      <c r="Z384" s="707"/>
      <c r="AA384" s="36" t="str">
        <f t="shared" si="402"/>
        <v/>
      </c>
      <c r="AB384" s="288" t="str">
        <f t="shared" si="454"/>
        <v/>
      </c>
      <c r="AC384" s="288" t="str">
        <f t="shared" si="455"/>
        <v/>
      </c>
      <c r="AD384" s="288" t="str">
        <f t="shared" si="456"/>
        <v/>
      </c>
      <c r="AE384" s="288" t="str">
        <f t="shared" si="457"/>
        <v/>
      </c>
      <c r="AF384" s="288" t="str">
        <f t="shared" si="458"/>
        <v/>
      </c>
      <c r="AG384" s="288" t="str">
        <f t="shared" si="459"/>
        <v/>
      </c>
      <c r="AH384" s="288" t="str">
        <f t="shared" si="460"/>
        <v/>
      </c>
      <c r="AI384" s="36">
        <f t="shared" si="461"/>
        <v>-1</v>
      </c>
      <c r="AJ384" s="36">
        <f t="shared" si="462"/>
        <v>-1</v>
      </c>
      <c r="AK384" s="36">
        <f t="shared" si="463"/>
        <v>-1</v>
      </c>
      <c r="AL384" s="36"/>
      <c r="AM384" s="36" t="str">
        <f t="shared" si="404"/>
        <v/>
      </c>
      <c r="AN384" s="288" t="str">
        <f t="shared" si="464"/>
        <v/>
      </c>
      <c r="AO384" s="288" t="str">
        <f t="shared" si="465"/>
        <v/>
      </c>
      <c r="AP384" s="288" t="str">
        <f t="shared" si="466"/>
        <v/>
      </c>
      <c r="AQ384" s="36">
        <f t="shared" ref="AQ384:AS384" si="480">AQ383</f>
        <v>3.3793103448275866E-2</v>
      </c>
      <c r="AR384" s="36">
        <f t="shared" si="480"/>
        <v>5.9329425287356324E-2</v>
      </c>
      <c r="AS384" s="36">
        <f t="shared" si="480"/>
        <v>8.4865747126436797E-2</v>
      </c>
      <c r="AT384" s="288">
        <f t="shared" si="468"/>
        <v>0.11040206896551726</v>
      </c>
    </row>
    <row r="385" spans="2:46">
      <c r="B385" s="287"/>
      <c r="C385" s="707"/>
      <c r="D385" s="707"/>
      <c r="E385" s="707"/>
      <c r="F385" s="707"/>
      <c r="G385" s="707"/>
      <c r="H385" s="707"/>
      <c r="I385" s="707"/>
      <c r="J385" s="707"/>
      <c r="K385" s="707"/>
      <c r="L385" s="707"/>
      <c r="M385" s="707"/>
      <c r="N385" s="707"/>
      <c r="O385" s="707"/>
      <c r="P385" s="707"/>
      <c r="Q385" s="707"/>
      <c r="R385" s="707"/>
      <c r="S385" s="707"/>
      <c r="T385" s="707"/>
      <c r="U385" s="707"/>
      <c r="V385" s="707"/>
      <c r="W385" s="707"/>
      <c r="X385" s="707"/>
      <c r="Y385" s="707"/>
      <c r="Z385" s="707"/>
      <c r="AA385" s="36" t="str">
        <f t="shared" si="402"/>
        <v/>
      </c>
      <c r="AB385" s="288" t="str">
        <f t="shared" si="454"/>
        <v/>
      </c>
      <c r="AC385" s="288" t="str">
        <f t="shared" si="455"/>
        <v/>
      </c>
      <c r="AD385" s="288" t="str">
        <f t="shared" si="456"/>
        <v/>
      </c>
      <c r="AE385" s="288" t="str">
        <f t="shared" si="457"/>
        <v/>
      </c>
      <c r="AF385" s="288" t="str">
        <f t="shared" si="458"/>
        <v/>
      </c>
      <c r="AG385" s="288" t="str">
        <f t="shared" si="459"/>
        <v/>
      </c>
      <c r="AH385" s="288" t="str">
        <f t="shared" si="460"/>
        <v/>
      </c>
      <c r="AI385" s="36">
        <f t="shared" si="461"/>
        <v>-1</v>
      </c>
      <c r="AJ385" s="36">
        <f t="shared" si="462"/>
        <v>-1</v>
      </c>
      <c r="AK385" s="36">
        <f t="shared" si="463"/>
        <v>-1</v>
      </c>
      <c r="AL385" s="36"/>
      <c r="AM385" s="36" t="str">
        <f t="shared" si="404"/>
        <v/>
      </c>
      <c r="AN385" s="288" t="str">
        <f t="shared" si="464"/>
        <v/>
      </c>
      <c r="AO385" s="288" t="str">
        <f t="shared" si="465"/>
        <v/>
      </c>
      <c r="AP385" s="288" t="str">
        <f t="shared" si="466"/>
        <v/>
      </c>
      <c r="AQ385" s="36">
        <f t="shared" ref="AQ385:AS385" si="481">AQ384</f>
        <v>3.3793103448275866E-2</v>
      </c>
      <c r="AR385" s="36">
        <f t="shared" si="481"/>
        <v>5.9329425287356324E-2</v>
      </c>
      <c r="AS385" s="36">
        <f t="shared" si="481"/>
        <v>8.4865747126436797E-2</v>
      </c>
      <c r="AT385" s="288">
        <f t="shared" si="468"/>
        <v>0.11040206896551726</v>
      </c>
    </row>
    <row r="386" spans="2:46">
      <c r="B386" s="287"/>
      <c r="C386" s="707"/>
      <c r="D386" s="707"/>
      <c r="E386" s="707"/>
      <c r="F386" s="707"/>
      <c r="G386" s="707"/>
      <c r="H386" s="707"/>
      <c r="I386" s="707"/>
      <c r="J386" s="707"/>
      <c r="K386" s="707"/>
      <c r="L386" s="707"/>
      <c r="M386" s="707"/>
      <c r="N386" s="707"/>
      <c r="O386" s="707"/>
      <c r="P386" s="707"/>
      <c r="Q386" s="707"/>
      <c r="R386" s="707"/>
      <c r="S386" s="707"/>
      <c r="T386" s="707"/>
      <c r="U386" s="707"/>
      <c r="V386" s="707"/>
      <c r="W386" s="707"/>
      <c r="X386" s="707"/>
      <c r="Y386" s="707"/>
      <c r="Z386" s="707"/>
      <c r="AA386" s="36" t="str">
        <f t="shared" ref="AA386:AA449" si="482">IF(B386="","",B386)</f>
        <v/>
      </c>
      <c r="AB386" s="288" t="str">
        <f t="shared" si="454"/>
        <v/>
      </c>
      <c r="AC386" s="288" t="str">
        <f t="shared" si="455"/>
        <v/>
      </c>
      <c r="AD386" s="288" t="str">
        <f t="shared" si="456"/>
        <v/>
      </c>
      <c r="AE386" s="288" t="str">
        <f t="shared" si="457"/>
        <v/>
      </c>
      <c r="AF386" s="288" t="str">
        <f t="shared" si="458"/>
        <v/>
      </c>
      <c r="AG386" s="288" t="str">
        <f t="shared" si="459"/>
        <v/>
      </c>
      <c r="AH386" s="288" t="str">
        <f t="shared" si="460"/>
        <v/>
      </c>
      <c r="AI386" s="36">
        <f t="shared" si="461"/>
        <v>-1</v>
      </c>
      <c r="AJ386" s="36">
        <f t="shared" si="462"/>
        <v>-1</v>
      </c>
      <c r="AK386" s="36">
        <f t="shared" si="463"/>
        <v>-1</v>
      </c>
      <c r="AL386" s="36"/>
      <c r="AM386" s="36" t="str">
        <f t="shared" si="404"/>
        <v/>
      </c>
      <c r="AN386" s="288" t="str">
        <f t="shared" si="464"/>
        <v/>
      </c>
      <c r="AO386" s="288" t="str">
        <f t="shared" si="465"/>
        <v/>
      </c>
      <c r="AP386" s="288" t="str">
        <f t="shared" si="466"/>
        <v/>
      </c>
      <c r="AQ386" s="36">
        <f t="shared" ref="AQ386:AS386" si="483">AQ385</f>
        <v>3.3793103448275866E-2</v>
      </c>
      <c r="AR386" s="36">
        <f t="shared" si="483"/>
        <v>5.9329425287356324E-2</v>
      </c>
      <c r="AS386" s="36">
        <f t="shared" si="483"/>
        <v>8.4865747126436797E-2</v>
      </c>
      <c r="AT386" s="288">
        <f t="shared" si="468"/>
        <v>0.11040206896551726</v>
      </c>
    </row>
    <row r="387" spans="2:46">
      <c r="B387" s="287"/>
      <c r="C387" s="707"/>
      <c r="D387" s="707"/>
      <c r="E387" s="707"/>
      <c r="F387" s="707"/>
      <c r="G387" s="707"/>
      <c r="H387" s="707"/>
      <c r="I387" s="707"/>
      <c r="J387" s="707"/>
      <c r="K387" s="707"/>
      <c r="L387" s="707"/>
      <c r="M387" s="707"/>
      <c r="N387" s="707"/>
      <c r="O387" s="707"/>
      <c r="P387" s="707"/>
      <c r="Q387" s="707"/>
      <c r="R387" s="707"/>
      <c r="S387" s="707"/>
      <c r="T387" s="707"/>
      <c r="U387" s="707"/>
      <c r="V387" s="707"/>
      <c r="W387" s="707"/>
      <c r="X387" s="707"/>
      <c r="Y387" s="707"/>
      <c r="Z387" s="707"/>
      <c r="AA387" s="36" t="str">
        <f t="shared" si="482"/>
        <v/>
      </c>
      <c r="AB387" s="288" t="str">
        <f t="shared" si="454"/>
        <v/>
      </c>
      <c r="AC387" s="288" t="str">
        <f t="shared" si="455"/>
        <v/>
      </c>
      <c r="AD387" s="288" t="str">
        <f t="shared" si="456"/>
        <v/>
      </c>
      <c r="AE387" s="288" t="str">
        <f t="shared" si="457"/>
        <v/>
      </c>
      <c r="AF387" s="288" t="str">
        <f t="shared" si="458"/>
        <v/>
      </c>
      <c r="AG387" s="288" t="str">
        <f t="shared" si="459"/>
        <v/>
      </c>
      <c r="AH387" s="288" t="str">
        <f t="shared" si="460"/>
        <v/>
      </c>
      <c r="AI387" s="36">
        <f t="shared" si="461"/>
        <v>-1</v>
      </c>
      <c r="AJ387" s="36">
        <f t="shared" si="462"/>
        <v>-1</v>
      </c>
      <c r="AK387" s="36">
        <f t="shared" si="463"/>
        <v>-1</v>
      </c>
      <c r="AL387" s="36"/>
      <c r="AM387" s="36" t="str">
        <f t="shared" ref="AM387:AM450" si="484">IF(B387="", "", ABS(B387-B386))</f>
        <v/>
      </c>
      <c r="AN387" s="288" t="str">
        <f t="shared" si="464"/>
        <v/>
      </c>
      <c r="AO387" s="288" t="str">
        <f t="shared" si="465"/>
        <v/>
      </c>
      <c r="AP387" s="288" t="str">
        <f t="shared" si="466"/>
        <v/>
      </c>
      <c r="AQ387" s="36">
        <f t="shared" ref="AQ387:AS387" si="485">AQ386</f>
        <v>3.3793103448275866E-2</v>
      </c>
      <c r="AR387" s="36">
        <f t="shared" si="485"/>
        <v>5.9329425287356324E-2</v>
      </c>
      <c r="AS387" s="36">
        <f t="shared" si="485"/>
        <v>8.4865747126436797E-2</v>
      </c>
      <c r="AT387" s="288">
        <f t="shared" si="468"/>
        <v>0.11040206896551726</v>
      </c>
    </row>
    <row r="388" spans="2:46">
      <c r="B388" s="287"/>
      <c r="C388" s="707"/>
      <c r="D388" s="707"/>
      <c r="E388" s="707"/>
      <c r="F388" s="707"/>
      <c r="G388" s="707"/>
      <c r="H388" s="707"/>
      <c r="I388" s="707"/>
      <c r="J388" s="707"/>
      <c r="K388" s="707"/>
      <c r="L388" s="707"/>
      <c r="M388" s="707"/>
      <c r="N388" s="707"/>
      <c r="O388" s="707"/>
      <c r="P388" s="707"/>
      <c r="Q388" s="707"/>
      <c r="R388" s="707"/>
      <c r="S388" s="707"/>
      <c r="T388" s="707"/>
      <c r="U388" s="707"/>
      <c r="V388" s="707"/>
      <c r="W388" s="707"/>
      <c r="X388" s="707"/>
      <c r="Y388" s="707"/>
      <c r="Z388" s="707"/>
      <c r="AA388" s="36" t="str">
        <f t="shared" si="482"/>
        <v/>
      </c>
      <c r="AB388" s="288" t="str">
        <f t="shared" si="454"/>
        <v/>
      </c>
      <c r="AC388" s="288" t="str">
        <f t="shared" si="455"/>
        <v/>
      </c>
      <c r="AD388" s="288" t="str">
        <f t="shared" si="456"/>
        <v/>
      </c>
      <c r="AE388" s="288" t="str">
        <f t="shared" si="457"/>
        <v/>
      </c>
      <c r="AF388" s="288" t="str">
        <f t="shared" si="458"/>
        <v/>
      </c>
      <c r="AG388" s="288" t="str">
        <f t="shared" si="459"/>
        <v/>
      </c>
      <c r="AH388" s="288" t="str">
        <f t="shared" si="460"/>
        <v/>
      </c>
      <c r="AI388" s="36">
        <f t="shared" si="461"/>
        <v>-1</v>
      </c>
      <c r="AJ388" s="36">
        <f t="shared" si="462"/>
        <v>-1</v>
      </c>
      <c r="AK388" s="36">
        <f t="shared" si="463"/>
        <v>-1</v>
      </c>
      <c r="AL388" s="36"/>
      <c r="AM388" s="36" t="str">
        <f t="shared" si="484"/>
        <v/>
      </c>
      <c r="AN388" s="288" t="str">
        <f t="shared" si="464"/>
        <v/>
      </c>
      <c r="AO388" s="288" t="str">
        <f t="shared" si="465"/>
        <v/>
      </c>
      <c r="AP388" s="288" t="str">
        <f t="shared" si="466"/>
        <v/>
      </c>
      <c r="AQ388" s="36">
        <f t="shared" ref="AQ388:AS388" si="486">AQ387</f>
        <v>3.3793103448275866E-2</v>
      </c>
      <c r="AR388" s="36">
        <f t="shared" si="486"/>
        <v>5.9329425287356324E-2</v>
      </c>
      <c r="AS388" s="36">
        <f t="shared" si="486"/>
        <v>8.4865747126436797E-2</v>
      </c>
      <c r="AT388" s="288">
        <f t="shared" si="468"/>
        <v>0.11040206896551726</v>
      </c>
    </row>
    <row r="389" spans="2:46">
      <c r="B389" s="287"/>
      <c r="C389" s="707"/>
      <c r="D389" s="707"/>
      <c r="E389" s="707"/>
      <c r="F389" s="707"/>
      <c r="G389" s="707"/>
      <c r="H389" s="707"/>
      <c r="I389" s="707"/>
      <c r="J389" s="707"/>
      <c r="K389" s="707"/>
      <c r="L389" s="707"/>
      <c r="M389" s="707"/>
      <c r="N389" s="707"/>
      <c r="O389" s="707"/>
      <c r="P389" s="707"/>
      <c r="Q389" s="707"/>
      <c r="R389" s="707"/>
      <c r="S389" s="707"/>
      <c r="T389" s="707"/>
      <c r="U389" s="707"/>
      <c r="V389" s="707"/>
      <c r="W389" s="707"/>
      <c r="X389" s="707"/>
      <c r="Y389" s="707"/>
      <c r="Z389" s="707"/>
      <c r="AA389" s="36" t="str">
        <f t="shared" si="482"/>
        <v/>
      </c>
      <c r="AB389" s="288" t="str">
        <f t="shared" si="454"/>
        <v/>
      </c>
      <c r="AC389" s="288" t="str">
        <f t="shared" si="455"/>
        <v/>
      </c>
      <c r="AD389" s="288" t="str">
        <f t="shared" si="456"/>
        <v/>
      </c>
      <c r="AE389" s="288" t="str">
        <f t="shared" si="457"/>
        <v/>
      </c>
      <c r="AF389" s="288" t="str">
        <f t="shared" si="458"/>
        <v/>
      </c>
      <c r="AG389" s="288" t="str">
        <f t="shared" si="459"/>
        <v/>
      </c>
      <c r="AH389" s="288" t="str">
        <f t="shared" si="460"/>
        <v/>
      </c>
      <c r="AI389" s="36">
        <f t="shared" si="461"/>
        <v>-1</v>
      </c>
      <c r="AJ389" s="36">
        <f t="shared" si="462"/>
        <v>-1</v>
      </c>
      <c r="AK389" s="36">
        <f t="shared" si="463"/>
        <v>-1</v>
      </c>
      <c r="AL389" s="36"/>
      <c r="AM389" s="36" t="str">
        <f t="shared" si="484"/>
        <v/>
      </c>
      <c r="AN389" s="288" t="str">
        <f t="shared" si="464"/>
        <v/>
      </c>
      <c r="AO389" s="288" t="str">
        <f t="shared" si="465"/>
        <v/>
      </c>
      <c r="AP389" s="288" t="str">
        <f t="shared" si="466"/>
        <v/>
      </c>
      <c r="AQ389" s="36">
        <f t="shared" ref="AQ389:AS389" si="487">AQ388</f>
        <v>3.3793103448275866E-2</v>
      </c>
      <c r="AR389" s="36">
        <f t="shared" si="487"/>
        <v>5.9329425287356324E-2</v>
      </c>
      <c r="AS389" s="36">
        <f t="shared" si="487"/>
        <v>8.4865747126436797E-2</v>
      </c>
      <c r="AT389" s="288">
        <f t="shared" si="468"/>
        <v>0.11040206896551726</v>
      </c>
    </row>
    <row r="390" spans="2:46">
      <c r="B390" s="287"/>
      <c r="C390" s="707"/>
      <c r="D390" s="707"/>
      <c r="E390" s="707"/>
      <c r="F390" s="707"/>
      <c r="G390" s="707"/>
      <c r="H390" s="707"/>
      <c r="I390" s="707"/>
      <c r="J390" s="707"/>
      <c r="K390" s="707"/>
      <c r="L390" s="707"/>
      <c r="M390" s="707"/>
      <c r="N390" s="707"/>
      <c r="O390" s="707"/>
      <c r="P390" s="707"/>
      <c r="Q390" s="707"/>
      <c r="R390" s="707"/>
      <c r="S390" s="707"/>
      <c r="T390" s="707"/>
      <c r="U390" s="707"/>
      <c r="V390" s="707"/>
      <c r="W390" s="707"/>
      <c r="X390" s="707"/>
      <c r="Y390" s="707"/>
      <c r="Z390" s="707"/>
      <c r="AA390" s="36" t="str">
        <f t="shared" si="482"/>
        <v/>
      </c>
      <c r="AB390" s="288" t="str">
        <f t="shared" si="454"/>
        <v/>
      </c>
      <c r="AC390" s="288" t="str">
        <f t="shared" si="455"/>
        <v/>
      </c>
      <c r="AD390" s="288" t="str">
        <f t="shared" si="456"/>
        <v/>
      </c>
      <c r="AE390" s="288" t="str">
        <f t="shared" si="457"/>
        <v/>
      </c>
      <c r="AF390" s="288" t="str">
        <f t="shared" si="458"/>
        <v/>
      </c>
      <c r="AG390" s="288" t="str">
        <f t="shared" si="459"/>
        <v/>
      </c>
      <c r="AH390" s="288" t="str">
        <f t="shared" si="460"/>
        <v/>
      </c>
      <c r="AI390" s="36">
        <f t="shared" si="461"/>
        <v>-1</v>
      </c>
      <c r="AJ390" s="36">
        <f t="shared" si="462"/>
        <v>-1</v>
      </c>
      <c r="AK390" s="36">
        <f t="shared" si="463"/>
        <v>-1</v>
      </c>
      <c r="AL390" s="36"/>
      <c r="AM390" s="36" t="str">
        <f t="shared" si="484"/>
        <v/>
      </c>
      <c r="AN390" s="288" t="str">
        <f t="shared" si="464"/>
        <v/>
      </c>
      <c r="AO390" s="288" t="str">
        <f t="shared" si="465"/>
        <v/>
      </c>
      <c r="AP390" s="288" t="str">
        <f t="shared" si="466"/>
        <v/>
      </c>
      <c r="AQ390" s="36">
        <f t="shared" ref="AQ390:AS390" si="488">AQ389</f>
        <v>3.3793103448275866E-2</v>
      </c>
      <c r="AR390" s="36">
        <f t="shared" si="488"/>
        <v>5.9329425287356324E-2</v>
      </c>
      <c r="AS390" s="36">
        <f t="shared" si="488"/>
        <v>8.4865747126436797E-2</v>
      </c>
      <c r="AT390" s="288">
        <f t="shared" si="468"/>
        <v>0.11040206896551726</v>
      </c>
    </row>
    <row r="391" spans="2:46">
      <c r="B391" s="287"/>
      <c r="C391" s="707"/>
      <c r="D391" s="707"/>
      <c r="E391" s="707"/>
      <c r="F391" s="707"/>
      <c r="G391" s="707"/>
      <c r="H391" s="707"/>
      <c r="I391" s="707"/>
      <c r="J391" s="707"/>
      <c r="K391" s="707"/>
      <c r="L391" s="707"/>
      <c r="M391" s="707"/>
      <c r="N391" s="707"/>
      <c r="O391" s="707"/>
      <c r="P391" s="707"/>
      <c r="Q391" s="707"/>
      <c r="R391" s="707"/>
      <c r="S391" s="707"/>
      <c r="T391" s="707"/>
      <c r="U391" s="707"/>
      <c r="V391" s="707"/>
      <c r="W391" s="707"/>
      <c r="X391" s="707"/>
      <c r="Y391" s="707"/>
      <c r="Z391" s="707"/>
      <c r="AA391" s="36" t="str">
        <f t="shared" si="482"/>
        <v/>
      </c>
      <c r="AB391" s="288" t="str">
        <f t="shared" si="454"/>
        <v/>
      </c>
      <c r="AC391" s="288" t="str">
        <f t="shared" si="455"/>
        <v/>
      </c>
      <c r="AD391" s="288" t="str">
        <f t="shared" si="456"/>
        <v/>
      </c>
      <c r="AE391" s="288" t="str">
        <f t="shared" si="457"/>
        <v/>
      </c>
      <c r="AF391" s="288" t="str">
        <f t="shared" si="458"/>
        <v/>
      </c>
      <c r="AG391" s="288" t="str">
        <f t="shared" si="459"/>
        <v/>
      </c>
      <c r="AH391" s="288" t="str">
        <f t="shared" si="460"/>
        <v/>
      </c>
      <c r="AI391" s="36">
        <f t="shared" si="461"/>
        <v>-1</v>
      </c>
      <c r="AJ391" s="36">
        <f t="shared" si="462"/>
        <v>-1</v>
      </c>
      <c r="AK391" s="36">
        <f t="shared" si="463"/>
        <v>-1</v>
      </c>
      <c r="AL391" s="36"/>
      <c r="AM391" s="36" t="str">
        <f t="shared" si="484"/>
        <v/>
      </c>
      <c r="AN391" s="288" t="str">
        <f t="shared" si="464"/>
        <v/>
      </c>
      <c r="AO391" s="288" t="str">
        <f t="shared" si="465"/>
        <v/>
      </c>
      <c r="AP391" s="288" t="str">
        <f t="shared" si="466"/>
        <v/>
      </c>
      <c r="AQ391" s="36">
        <f t="shared" ref="AQ391:AS391" si="489">AQ390</f>
        <v>3.3793103448275866E-2</v>
      </c>
      <c r="AR391" s="36">
        <f t="shared" si="489"/>
        <v>5.9329425287356324E-2</v>
      </c>
      <c r="AS391" s="36">
        <f t="shared" si="489"/>
        <v>8.4865747126436797E-2</v>
      </c>
      <c r="AT391" s="288">
        <f t="shared" si="468"/>
        <v>0.11040206896551726</v>
      </c>
    </row>
    <row r="392" spans="2:46">
      <c r="B392" s="287"/>
      <c r="C392" s="707"/>
      <c r="D392" s="707"/>
      <c r="E392" s="707"/>
      <c r="F392" s="707"/>
      <c r="G392" s="707"/>
      <c r="H392" s="707"/>
      <c r="I392" s="707"/>
      <c r="J392" s="707"/>
      <c r="K392" s="707"/>
      <c r="L392" s="707"/>
      <c r="M392" s="707"/>
      <c r="N392" s="707"/>
      <c r="O392" s="707"/>
      <c r="P392" s="707"/>
      <c r="Q392" s="707"/>
      <c r="R392" s="707"/>
      <c r="S392" s="707"/>
      <c r="T392" s="707"/>
      <c r="U392" s="707"/>
      <c r="V392" s="707"/>
      <c r="W392" s="707"/>
      <c r="X392" s="707"/>
      <c r="Y392" s="707"/>
      <c r="Z392" s="707"/>
      <c r="AA392" s="36" t="str">
        <f t="shared" si="482"/>
        <v/>
      </c>
      <c r="AB392" s="288" t="str">
        <f t="shared" si="454"/>
        <v/>
      </c>
      <c r="AC392" s="288" t="str">
        <f t="shared" si="455"/>
        <v/>
      </c>
      <c r="AD392" s="288" t="str">
        <f t="shared" si="456"/>
        <v/>
      </c>
      <c r="AE392" s="288" t="str">
        <f t="shared" si="457"/>
        <v/>
      </c>
      <c r="AF392" s="288" t="str">
        <f t="shared" si="458"/>
        <v/>
      </c>
      <c r="AG392" s="288" t="str">
        <f t="shared" si="459"/>
        <v/>
      </c>
      <c r="AH392" s="288" t="str">
        <f t="shared" si="460"/>
        <v/>
      </c>
      <c r="AI392" s="36">
        <f t="shared" si="461"/>
        <v>-1</v>
      </c>
      <c r="AJ392" s="36">
        <f t="shared" si="462"/>
        <v>-1</v>
      </c>
      <c r="AK392" s="36">
        <f t="shared" si="463"/>
        <v>-1</v>
      </c>
      <c r="AL392" s="36"/>
      <c r="AM392" s="36" t="str">
        <f t="shared" si="484"/>
        <v/>
      </c>
      <c r="AN392" s="288" t="str">
        <f t="shared" si="464"/>
        <v/>
      </c>
      <c r="AO392" s="288" t="str">
        <f t="shared" si="465"/>
        <v/>
      </c>
      <c r="AP392" s="288" t="str">
        <f t="shared" si="466"/>
        <v/>
      </c>
      <c r="AQ392" s="36">
        <f t="shared" ref="AQ392:AS392" si="490">AQ391</f>
        <v>3.3793103448275866E-2</v>
      </c>
      <c r="AR392" s="36">
        <f t="shared" si="490"/>
        <v>5.9329425287356324E-2</v>
      </c>
      <c r="AS392" s="36">
        <f t="shared" si="490"/>
        <v>8.4865747126436797E-2</v>
      </c>
      <c r="AT392" s="288">
        <f t="shared" si="468"/>
        <v>0.11040206896551726</v>
      </c>
    </row>
    <row r="393" spans="2:46">
      <c r="B393" s="287"/>
      <c r="C393" s="707"/>
      <c r="D393" s="707"/>
      <c r="E393" s="707"/>
      <c r="F393" s="707"/>
      <c r="G393" s="707"/>
      <c r="H393" s="707"/>
      <c r="I393" s="707"/>
      <c r="J393" s="707"/>
      <c r="K393" s="707"/>
      <c r="L393" s="707"/>
      <c r="M393" s="707"/>
      <c r="N393" s="707"/>
      <c r="O393" s="707"/>
      <c r="P393" s="707"/>
      <c r="Q393" s="707"/>
      <c r="R393" s="707"/>
      <c r="S393" s="707"/>
      <c r="T393" s="707"/>
      <c r="U393" s="707"/>
      <c r="V393" s="707"/>
      <c r="W393" s="707"/>
      <c r="X393" s="707"/>
      <c r="Y393" s="707"/>
      <c r="Z393" s="707"/>
      <c r="AA393" s="36" t="str">
        <f t="shared" si="482"/>
        <v/>
      </c>
      <c r="AB393" s="288" t="str">
        <f t="shared" si="454"/>
        <v/>
      </c>
      <c r="AC393" s="288" t="str">
        <f t="shared" si="455"/>
        <v/>
      </c>
      <c r="AD393" s="288" t="str">
        <f t="shared" si="456"/>
        <v/>
      </c>
      <c r="AE393" s="288" t="str">
        <f t="shared" si="457"/>
        <v/>
      </c>
      <c r="AF393" s="288" t="str">
        <f t="shared" si="458"/>
        <v/>
      </c>
      <c r="AG393" s="288" t="str">
        <f t="shared" si="459"/>
        <v/>
      </c>
      <c r="AH393" s="288" t="str">
        <f t="shared" si="460"/>
        <v/>
      </c>
      <c r="AI393" s="36">
        <f t="shared" si="461"/>
        <v>-1</v>
      </c>
      <c r="AJ393" s="36">
        <f t="shared" si="462"/>
        <v>-1</v>
      </c>
      <c r="AK393" s="36">
        <f t="shared" si="463"/>
        <v>-1</v>
      </c>
      <c r="AL393" s="36"/>
      <c r="AM393" s="36" t="str">
        <f t="shared" si="484"/>
        <v/>
      </c>
      <c r="AN393" s="288" t="str">
        <f t="shared" si="464"/>
        <v/>
      </c>
      <c r="AO393" s="288" t="str">
        <f t="shared" si="465"/>
        <v/>
      </c>
      <c r="AP393" s="288" t="str">
        <f t="shared" si="466"/>
        <v/>
      </c>
      <c r="AQ393" s="36">
        <f t="shared" ref="AQ393:AS393" si="491">AQ392</f>
        <v>3.3793103448275866E-2</v>
      </c>
      <c r="AR393" s="36">
        <f t="shared" si="491"/>
        <v>5.9329425287356324E-2</v>
      </c>
      <c r="AS393" s="36">
        <f t="shared" si="491"/>
        <v>8.4865747126436797E-2</v>
      </c>
      <c r="AT393" s="288">
        <f t="shared" si="468"/>
        <v>0.11040206896551726</v>
      </c>
    </row>
    <row r="394" spans="2:46">
      <c r="B394" s="287"/>
      <c r="C394" s="707"/>
      <c r="D394" s="707"/>
      <c r="E394" s="707"/>
      <c r="F394" s="707"/>
      <c r="G394" s="707"/>
      <c r="H394" s="707"/>
      <c r="I394" s="707"/>
      <c r="J394" s="707"/>
      <c r="K394" s="707"/>
      <c r="L394" s="707"/>
      <c r="M394" s="707"/>
      <c r="N394" s="707"/>
      <c r="O394" s="707"/>
      <c r="P394" s="707"/>
      <c r="Q394" s="707"/>
      <c r="R394" s="707"/>
      <c r="S394" s="707"/>
      <c r="T394" s="707"/>
      <c r="U394" s="707"/>
      <c r="V394" s="707"/>
      <c r="W394" s="707"/>
      <c r="X394" s="707"/>
      <c r="Y394" s="707"/>
      <c r="Z394" s="707"/>
      <c r="AA394" s="36" t="str">
        <f t="shared" si="482"/>
        <v/>
      </c>
      <c r="AB394" s="288" t="str">
        <f t="shared" si="454"/>
        <v/>
      </c>
      <c r="AC394" s="288" t="str">
        <f t="shared" si="455"/>
        <v/>
      </c>
      <c r="AD394" s="288" t="str">
        <f t="shared" si="456"/>
        <v/>
      </c>
      <c r="AE394" s="288" t="str">
        <f t="shared" si="457"/>
        <v/>
      </c>
      <c r="AF394" s="288" t="str">
        <f t="shared" si="458"/>
        <v/>
      </c>
      <c r="AG394" s="288" t="str">
        <f t="shared" si="459"/>
        <v/>
      </c>
      <c r="AH394" s="288" t="str">
        <f t="shared" si="460"/>
        <v/>
      </c>
      <c r="AI394" s="36">
        <f t="shared" si="461"/>
        <v>-1</v>
      </c>
      <c r="AJ394" s="36">
        <f t="shared" si="462"/>
        <v>-1</v>
      </c>
      <c r="AK394" s="36">
        <f t="shared" si="463"/>
        <v>-1</v>
      </c>
      <c r="AL394" s="36"/>
      <c r="AM394" s="36" t="str">
        <f t="shared" si="484"/>
        <v/>
      </c>
      <c r="AN394" s="288" t="str">
        <f t="shared" si="464"/>
        <v/>
      </c>
      <c r="AO394" s="288" t="str">
        <f t="shared" si="465"/>
        <v/>
      </c>
      <c r="AP394" s="288" t="str">
        <f t="shared" si="466"/>
        <v/>
      </c>
      <c r="AQ394" s="36">
        <f t="shared" ref="AQ394:AS394" si="492">AQ393</f>
        <v>3.3793103448275866E-2</v>
      </c>
      <c r="AR394" s="36">
        <f t="shared" si="492"/>
        <v>5.9329425287356324E-2</v>
      </c>
      <c r="AS394" s="36">
        <f t="shared" si="492"/>
        <v>8.4865747126436797E-2</v>
      </c>
      <c r="AT394" s="288">
        <f t="shared" si="468"/>
        <v>0.11040206896551726</v>
      </c>
    </row>
    <row r="395" spans="2:46">
      <c r="B395" s="287"/>
      <c r="C395" s="707"/>
      <c r="D395" s="707"/>
      <c r="E395" s="707"/>
      <c r="F395" s="707"/>
      <c r="G395" s="707"/>
      <c r="H395" s="707"/>
      <c r="I395" s="707"/>
      <c r="J395" s="707"/>
      <c r="K395" s="707"/>
      <c r="L395" s="707"/>
      <c r="M395" s="707"/>
      <c r="N395" s="707"/>
      <c r="O395" s="707"/>
      <c r="P395" s="707"/>
      <c r="Q395" s="707"/>
      <c r="R395" s="707"/>
      <c r="S395" s="707"/>
      <c r="T395" s="707"/>
      <c r="U395" s="707"/>
      <c r="V395" s="707"/>
      <c r="W395" s="707"/>
      <c r="X395" s="707"/>
      <c r="Y395" s="707"/>
      <c r="Z395" s="707"/>
      <c r="AA395" s="36" t="str">
        <f t="shared" si="482"/>
        <v/>
      </c>
      <c r="AB395" s="288" t="str">
        <f t="shared" si="454"/>
        <v/>
      </c>
      <c r="AC395" s="288" t="str">
        <f t="shared" si="455"/>
        <v/>
      </c>
      <c r="AD395" s="288" t="str">
        <f t="shared" si="456"/>
        <v/>
      </c>
      <c r="AE395" s="288" t="str">
        <f t="shared" si="457"/>
        <v/>
      </c>
      <c r="AF395" s="288" t="str">
        <f t="shared" si="458"/>
        <v/>
      </c>
      <c r="AG395" s="288" t="str">
        <f t="shared" si="459"/>
        <v/>
      </c>
      <c r="AH395" s="288" t="str">
        <f t="shared" si="460"/>
        <v/>
      </c>
      <c r="AI395" s="36">
        <f t="shared" si="461"/>
        <v>-1</v>
      </c>
      <c r="AJ395" s="36">
        <f t="shared" si="462"/>
        <v>-1</v>
      </c>
      <c r="AK395" s="36">
        <f t="shared" si="463"/>
        <v>-1</v>
      </c>
      <c r="AL395" s="36"/>
      <c r="AM395" s="36" t="str">
        <f t="shared" si="484"/>
        <v/>
      </c>
      <c r="AN395" s="288" t="str">
        <f t="shared" si="464"/>
        <v/>
      </c>
      <c r="AO395" s="288" t="str">
        <f t="shared" si="465"/>
        <v/>
      </c>
      <c r="AP395" s="288" t="str">
        <f t="shared" si="466"/>
        <v/>
      </c>
      <c r="AQ395" s="36">
        <f t="shared" ref="AQ395:AS395" si="493">AQ394</f>
        <v>3.3793103448275866E-2</v>
      </c>
      <c r="AR395" s="36">
        <f t="shared" si="493"/>
        <v>5.9329425287356324E-2</v>
      </c>
      <c r="AS395" s="36">
        <f t="shared" si="493"/>
        <v>8.4865747126436797E-2</v>
      </c>
      <c r="AT395" s="288">
        <f t="shared" si="468"/>
        <v>0.11040206896551726</v>
      </c>
    </row>
    <row r="396" spans="2:46">
      <c r="B396" s="287"/>
      <c r="C396" s="707"/>
      <c r="D396" s="707"/>
      <c r="E396" s="707"/>
      <c r="F396" s="707"/>
      <c r="G396" s="707"/>
      <c r="H396" s="707"/>
      <c r="I396" s="707"/>
      <c r="J396" s="707"/>
      <c r="K396" s="707"/>
      <c r="L396" s="707"/>
      <c r="M396" s="707"/>
      <c r="N396" s="707"/>
      <c r="O396" s="707"/>
      <c r="P396" s="707"/>
      <c r="Q396" s="707"/>
      <c r="R396" s="707"/>
      <c r="S396" s="707"/>
      <c r="T396" s="707"/>
      <c r="U396" s="707"/>
      <c r="V396" s="707"/>
      <c r="W396" s="707"/>
      <c r="X396" s="707"/>
      <c r="Y396" s="707"/>
      <c r="Z396" s="707"/>
      <c r="AA396" s="36" t="str">
        <f t="shared" si="482"/>
        <v/>
      </c>
      <c r="AB396" s="288" t="str">
        <f t="shared" si="454"/>
        <v/>
      </c>
      <c r="AC396" s="288" t="str">
        <f t="shared" si="455"/>
        <v/>
      </c>
      <c r="AD396" s="288" t="str">
        <f t="shared" si="456"/>
        <v/>
      </c>
      <c r="AE396" s="288" t="str">
        <f t="shared" si="457"/>
        <v/>
      </c>
      <c r="AF396" s="288" t="str">
        <f t="shared" si="458"/>
        <v/>
      </c>
      <c r="AG396" s="288" t="str">
        <f t="shared" si="459"/>
        <v/>
      </c>
      <c r="AH396" s="288" t="str">
        <f t="shared" si="460"/>
        <v/>
      </c>
      <c r="AI396" s="36">
        <f t="shared" si="461"/>
        <v>-1</v>
      </c>
      <c r="AJ396" s="36">
        <f t="shared" si="462"/>
        <v>-1</v>
      </c>
      <c r="AK396" s="36">
        <f t="shared" si="463"/>
        <v>-1</v>
      </c>
      <c r="AL396" s="36"/>
      <c r="AM396" s="36" t="str">
        <f t="shared" si="484"/>
        <v/>
      </c>
      <c r="AN396" s="288" t="str">
        <f t="shared" si="464"/>
        <v/>
      </c>
      <c r="AO396" s="288" t="str">
        <f t="shared" si="465"/>
        <v/>
      </c>
      <c r="AP396" s="288" t="str">
        <f t="shared" si="466"/>
        <v/>
      </c>
      <c r="AQ396" s="36">
        <f t="shared" ref="AQ396:AS396" si="494">AQ395</f>
        <v>3.3793103448275866E-2</v>
      </c>
      <c r="AR396" s="36">
        <f t="shared" si="494"/>
        <v>5.9329425287356324E-2</v>
      </c>
      <c r="AS396" s="36">
        <f t="shared" si="494"/>
        <v>8.4865747126436797E-2</v>
      </c>
      <c r="AT396" s="288">
        <f t="shared" si="468"/>
        <v>0.11040206896551726</v>
      </c>
    </row>
    <row r="397" spans="2:46">
      <c r="B397" s="287"/>
      <c r="C397" s="707"/>
      <c r="D397" s="707"/>
      <c r="E397" s="707"/>
      <c r="F397" s="707"/>
      <c r="G397" s="707"/>
      <c r="H397" s="707"/>
      <c r="I397" s="707"/>
      <c r="J397" s="707"/>
      <c r="K397" s="707"/>
      <c r="L397" s="707"/>
      <c r="M397" s="707"/>
      <c r="N397" s="707"/>
      <c r="O397" s="707"/>
      <c r="P397" s="707"/>
      <c r="Q397" s="707"/>
      <c r="R397" s="707"/>
      <c r="S397" s="707"/>
      <c r="T397" s="707"/>
      <c r="U397" s="707"/>
      <c r="V397" s="707"/>
      <c r="W397" s="707"/>
      <c r="X397" s="707"/>
      <c r="Y397" s="707"/>
      <c r="Z397" s="707"/>
      <c r="AA397" s="36" t="str">
        <f t="shared" si="482"/>
        <v/>
      </c>
      <c r="AB397" s="288" t="str">
        <f t="shared" si="454"/>
        <v/>
      </c>
      <c r="AC397" s="288" t="str">
        <f t="shared" si="455"/>
        <v/>
      </c>
      <c r="AD397" s="288" t="str">
        <f t="shared" si="456"/>
        <v/>
      </c>
      <c r="AE397" s="288" t="str">
        <f t="shared" si="457"/>
        <v/>
      </c>
      <c r="AF397" s="288" t="str">
        <f t="shared" si="458"/>
        <v/>
      </c>
      <c r="AG397" s="288" t="str">
        <f t="shared" si="459"/>
        <v/>
      </c>
      <c r="AH397" s="288" t="str">
        <f t="shared" si="460"/>
        <v/>
      </c>
      <c r="AI397" s="36">
        <f t="shared" si="461"/>
        <v>-1</v>
      </c>
      <c r="AJ397" s="36">
        <f t="shared" si="462"/>
        <v>-1</v>
      </c>
      <c r="AK397" s="36">
        <f t="shared" si="463"/>
        <v>-1</v>
      </c>
      <c r="AL397" s="36"/>
      <c r="AM397" s="36" t="str">
        <f t="shared" si="484"/>
        <v/>
      </c>
      <c r="AN397" s="288" t="str">
        <f t="shared" si="464"/>
        <v/>
      </c>
      <c r="AO397" s="288" t="str">
        <f t="shared" si="465"/>
        <v/>
      </c>
      <c r="AP397" s="288" t="str">
        <f t="shared" si="466"/>
        <v/>
      </c>
      <c r="AQ397" s="36">
        <f t="shared" ref="AQ397:AS397" si="495">AQ396</f>
        <v>3.3793103448275866E-2</v>
      </c>
      <c r="AR397" s="36">
        <f t="shared" si="495"/>
        <v>5.9329425287356324E-2</v>
      </c>
      <c r="AS397" s="36">
        <f t="shared" si="495"/>
        <v>8.4865747126436797E-2</v>
      </c>
      <c r="AT397" s="288">
        <f t="shared" si="468"/>
        <v>0.11040206896551726</v>
      </c>
    </row>
    <row r="398" spans="2:46">
      <c r="B398" s="287"/>
      <c r="C398" s="707"/>
      <c r="D398" s="707"/>
      <c r="E398" s="707"/>
      <c r="F398" s="707"/>
      <c r="G398" s="707"/>
      <c r="H398" s="707"/>
      <c r="I398" s="707"/>
      <c r="J398" s="707"/>
      <c r="K398" s="707"/>
      <c r="L398" s="707"/>
      <c r="M398" s="707"/>
      <c r="N398" s="707"/>
      <c r="O398" s="707"/>
      <c r="P398" s="707"/>
      <c r="Q398" s="707"/>
      <c r="R398" s="707"/>
      <c r="S398" s="707"/>
      <c r="T398" s="707"/>
      <c r="U398" s="707"/>
      <c r="V398" s="707"/>
      <c r="W398" s="707"/>
      <c r="X398" s="707"/>
      <c r="Y398" s="707"/>
      <c r="Z398" s="707"/>
      <c r="AA398" s="36" t="str">
        <f t="shared" si="482"/>
        <v/>
      </c>
      <c r="AB398" s="288" t="str">
        <f t="shared" si="454"/>
        <v/>
      </c>
      <c r="AC398" s="288" t="str">
        <f t="shared" si="455"/>
        <v/>
      </c>
      <c r="AD398" s="288" t="str">
        <f t="shared" si="456"/>
        <v/>
      </c>
      <c r="AE398" s="288" t="str">
        <f t="shared" si="457"/>
        <v/>
      </c>
      <c r="AF398" s="288" t="str">
        <f t="shared" si="458"/>
        <v/>
      </c>
      <c r="AG398" s="288" t="str">
        <f t="shared" si="459"/>
        <v/>
      </c>
      <c r="AH398" s="288" t="str">
        <f t="shared" si="460"/>
        <v/>
      </c>
      <c r="AI398" s="36">
        <f t="shared" si="461"/>
        <v>-1</v>
      </c>
      <c r="AJ398" s="36">
        <f t="shared" si="462"/>
        <v>-1</v>
      </c>
      <c r="AK398" s="36">
        <f t="shared" si="463"/>
        <v>-1</v>
      </c>
      <c r="AL398" s="36"/>
      <c r="AM398" s="36" t="str">
        <f t="shared" si="484"/>
        <v/>
      </c>
      <c r="AN398" s="288" t="str">
        <f t="shared" si="464"/>
        <v/>
      </c>
      <c r="AO398" s="288" t="str">
        <f t="shared" si="465"/>
        <v/>
      </c>
      <c r="AP398" s="288" t="str">
        <f t="shared" si="466"/>
        <v/>
      </c>
      <c r="AQ398" s="36">
        <f t="shared" ref="AQ398:AS398" si="496">AQ397</f>
        <v>3.3793103448275866E-2</v>
      </c>
      <c r="AR398" s="36">
        <f t="shared" si="496"/>
        <v>5.9329425287356324E-2</v>
      </c>
      <c r="AS398" s="36">
        <f t="shared" si="496"/>
        <v>8.4865747126436797E-2</v>
      </c>
      <c r="AT398" s="288">
        <f t="shared" si="468"/>
        <v>0.11040206896551726</v>
      </c>
    </row>
    <row r="399" spans="2:46">
      <c r="B399" s="287"/>
      <c r="C399" s="707"/>
      <c r="D399" s="707"/>
      <c r="E399" s="707"/>
      <c r="F399" s="707"/>
      <c r="G399" s="707"/>
      <c r="H399" s="707"/>
      <c r="I399" s="707"/>
      <c r="J399" s="707"/>
      <c r="K399" s="707"/>
      <c r="L399" s="707"/>
      <c r="M399" s="707"/>
      <c r="N399" s="707"/>
      <c r="O399" s="707"/>
      <c r="P399" s="707"/>
      <c r="Q399" s="707"/>
      <c r="R399" s="707"/>
      <c r="S399" s="707"/>
      <c r="T399" s="707"/>
      <c r="U399" s="707"/>
      <c r="V399" s="707"/>
      <c r="W399" s="707"/>
      <c r="X399" s="707"/>
      <c r="Y399" s="707"/>
      <c r="Z399" s="707"/>
      <c r="AA399" s="36" t="str">
        <f t="shared" si="482"/>
        <v/>
      </c>
      <c r="AB399" s="288" t="str">
        <f t="shared" si="454"/>
        <v/>
      </c>
      <c r="AC399" s="288" t="str">
        <f t="shared" si="455"/>
        <v/>
      </c>
      <c r="AD399" s="288" t="str">
        <f t="shared" si="456"/>
        <v/>
      </c>
      <c r="AE399" s="288" t="str">
        <f t="shared" si="457"/>
        <v/>
      </c>
      <c r="AF399" s="288" t="str">
        <f t="shared" si="458"/>
        <v/>
      </c>
      <c r="AG399" s="288" t="str">
        <f t="shared" si="459"/>
        <v/>
      </c>
      <c r="AH399" s="288" t="str">
        <f t="shared" si="460"/>
        <v/>
      </c>
      <c r="AI399" s="36">
        <f t="shared" si="461"/>
        <v>-1</v>
      </c>
      <c r="AJ399" s="36">
        <f t="shared" si="462"/>
        <v>-1</v>
      </c>
      <c r="AK399" s="36">
        <f t="shared" si="463"/>
        <v>-1</v>
      </c>
      <c r="AL399" s="36"/>
      <c r="AM399" s="36" t="str">
        <f t="shared" si="484"/>
        <v/>
      </c>
      <c r="AN399" s="288" t="str">
        <f t="shared" si="464"/>
        <v/>
      </c>
      <c r="AO399" s="288" t="str">
        <f t="shared" si="465"/>
        <v/>
      </c>
      <c r="AP399" s="288" t="str">
        <f t="shared" si="466"/>
        <v/>
      </c>
      <c r="AQ399" s="36">
        <f t="shared" ref="AQ399:AS399" si="497">AQ398</f>
        <v>3.3793103448275866E-2</v>
      </c>
      <c r="AR399" s="36">
        <f t="shared" si="497"/>
        <v>5.9329425287356324E-2</v>
      </c>
      <c r="AS399" s="36">
        <f t="shared" si="497"/>
        <v>8.4865747126436797E-2</v>
      </c>
      <c r="AT399" s="288">
        <f t="shared" si="468"/>
        <v>0.11040206896551726</v>
      </c>
    </row>
    <row r="400" spans="2:46">
      <c r="B400" s="287"/>
      <c r="C400" s="707"/>
      <c r="D400" s="707"/>
      <c r="E400" s="707"/>
      <c r="F400" s="707"/>
      <c r="G400" s="707"/>
      <c r="H400" s="707"/>
      <c r="I400" s="707"/>
      <c r="J400" s="707"/>
      <c r="K400" s="707"/>
      <c r="L400" s="707"/>
      <c r="M400" s="707"/>
      <c r="N400" s="707"/>
      <c r="O400" s="707"/>
      <c r="P400" s="707"/>
      <c r="Q400" s="707"/>
      <c r="R400" s="707"/>
      <c r="S400" s="707"/>
      <c r="T400" s="707"/>
      <c r="U400" s="707"/>
      <c r="V400" s="707"/>
      <c r="W400" s="707"/>
      <c r="X400" s="707"/>
      <c r="Y400" s="707"/>
      <c r="Z400" s="707"/>
      <c r="AA400" s="36" t="str">
        <f t="shared" si="482"/>
        <v/>
      </c>
      <c r="AB400" s="288" t="str">
        <f t="shared" si="454"/>
        <v/>
      </c>
      <c r="AC400" s="288" t="str">
        <f t="shared" si="455"/>
        <v/>
      </c>
      <c r="AD400" s="288" t="str">
        <f t="shared" si="456"/>
        <v/>
      </c>
      <c r="AE400" s="288" t="str">
        <f t="shared" si="457"/>
        <v/>
      </c>
      <c r="AF400" s="288" t="str">
        <f t="shared" si="458"/>
        <v/>
      </c>
      <c r="AG400" s="288" t="str">
        <f t="shared" si="459"/>
        <v/>
      </c>
      <c r="AH400" s="288" t="str">
        <f t="shared" si="460"/>
        <v/>
      </c>
      <c r="AI400" s="36">
        <f t="shared" si="461"/>
        <v>-1</v>
      </c>
      <c r="AJ400" s="36">
        <f t="shared" si="462"/>
        <v>-1</v>
      </c>
      <c r="AK400" s="36">
        <f t="shared" si="463"/>
        <v>-1</v>
      </c>
      <c r="AL400" s="36"/>
      <c r="AM400" s="36" t="str">
        <f t="shared" si="484"/>
        <v/>
      </c>
      <c r="AN400" s="288" t="str">
        <f t="shared" si="464"/>
        <v/>
      </c>
      <c r="AO400" s="288" t="str">
        <f t="shared" si="465"/>
        <v/>
      </c>
      <c r="AP400" s="288" t="str">
        <f t="shared" si="466"/>
        <v/>
      </c>
      <c r="AQ400" s="36">
        <f t="shared" ref="AQ400:AS400" si="498">AQ399</f>
        <v>3.3793103448275866E-2</v>
      </c>
      <c r="AR400" s="36">
        <f t="shared" si="498"/>
        <v>5.9329425287356324E-2</v>
      </c>
      <c r="AS400" s="36">
        <f t="shared" si="498"/>
        <v>8.4865747126436797E-2</v>
      </c>
      <c r="AT400" s="288">
        <f t="shared" si="468"/>
        <v>0.11040206896551726</v>
      </c>
    </row>
    <row r="401" spans="2:46">
      <c r="B401" s="287"/>
      <c r="C401" s="707"/>
      <c r="D401" s="707"/>
      <c r="E401" s="707"/>
      <c r="F401" s="707"/>
      <c r="G401" s="707"/>
      <c r="H401" s="707"/>
      <c r="I401" s="707"/>
      <c r="J401" s="707"/>
      <c r="K401" s="707"/>
      <c r="L401" s="707"/>
      <c r="M401" s="707"/>
      <c r="N401" s="707"/>
      <c r="O401" s="707"/>
      <c r="P401" s="707"/>
      <c r="Q401" s="707"/>
      <c r="R401" s="707"/>
      <c r="S401" s="707"/>
      <c r="T401" s="707"/>
      <c r="U401" s="707"/>
      <c r="V401" s="707"/>
      <c r="W401" s="707"/>
      <c r="X401" s="707"/>
      <c r="Y401" s="707"/>
      <c r="Z401" s="707"/>
      <c r="AA401" s="36" t="str">
        <f t="shared" si="482"/>
        <v/>
      </c>
      <c r="AB401" s="288" t="str">
        <f t="shared" si="454"/>
        <v/>
      </c>
      <c r="AC401" s="288" t="str">
        <f t="shared" si="455"/>
        <v/>
      </c>
      <c r="AD401" s="288" t="str">
        <f t="shared" si="456"/>
        <v/>
      </c>
      <c r="AE401" s="288" t="str">
        <f t="shared" si="457"/>
        <v/>
      </c>
      <c r="AF401" s="288" t="str">
        <f t="shared" si="458"/>
        <v/>
      </c>
      <c r="AG401" s="288" t="str">
        <f t="shared" si="459"/>
        <v/>
      </c>
      <c r="AH401" s="288" t="str">
        <f t="shared" si="460"/>
        <v/>
      </c>
      <c r="AI401" s="36">
        <f t="shared" si="461"/>
        <v>-1</v>
      </c>
      <c r="AJ401" s="36">
        <f t="shared" si="462"/>
        <v>-1</v>
      </c>
      <c r="AK401" s="36">
        <f t="shared" si="463"/>
        <v>-1</v>
      </c>
      <c r="AL401" s="36"/>
      <c r="AM401" s="36" t="str">
        <f t="shared" si="484"/>
        <v/>
      </c>
      <c r="AN401" s="288" t="str">
        <f t="shared" si="464"/>
        <v/>
      </c>
      <c r="AO401" s="288" t="str">
        <f t="shared" si="465"/>
        <v/>
      </c>
      <c r="AP401" s="288" t="str">
        <f t="shared" si="466"/>
        <v/>
      </c>
      <c r="AQ401" s="36">
        <f t="shared" ref="AQ401:AS401" si="499">AQ400</f>
        <v>3.3793103448275866E-2</v>
      </c>
      <c r="AR401" s="36">
        <f t="shared" si="499"/>
        <v>5.9329425287356324E-2</v>
      </c>
      <c r="AS401" s="36">
        <f t="shared" si="499"/>
        <v>8.4865747126436797E-2</v>
      </c>
      <c r="AT401" s="288">
        <f t="shared" si="468"/>
        <v>0.11040206896551726</v>
      </c>
    </row>
    <row r="402" spans="2:46">
      <c r="B402" s="287"/>
      <c r="C402" s="707"/>
      <c r="D402" s="707"/>
      <c r="E402" s="707"/>
      <c r="F402" s="707"/>
      <c r="G402" s="707"/>
      <c r="H402" s="707"/>
      <c r="I402" s="707"/>
      <c r="J402" s="707"/>
      <c r="K402" s="707"/>
      <c r="L402" s="707"/>
      <c r="M402" s="707"/>
      <c r="N402" s="707"/>
      <c r="O402" s="707"/>
      <c r="P402" s="707"/>
      <c r="Q402" s="707"/>
      <c r="R402" s="707"/>
      <c r="S402" s="707"/>
      <c r="T402" s="707"/>
      <c r="U402" s="707"/>
      <c r="V402" s="707"/>
      <c r="W402" s="707"/>
      <c r="X402" s="707"/>
      <c r="Y402" s="707"/>
      <c r="Z402" s="707"/>
      <c r="AA402" s="36" t="str">
        <f t="shared" si="482"/>
        <v/>
      </c>
      <c r="AB402" s="288" t="str">
        <f t="shared" si="454"/>
        <v/>
      </c>
      <c r="AC402" s="288" t="str">
        <f t="shared" si="455"/>
        <v/>
      </c>
      <c r="AD402" s="288" t="str">
        <f t="shared" si="456"/>
        <v/>
      </c>
      <c r="AE402" s="288" t="str">
        <f t="shared" si="457"/>
        <v/>
      </c>
      <c r="AF402" s="288" t="str">
        <f t="shared" si="458"/>
        <v/>
      </c>
      <c r="AG402" s="288" t="str">
        <f t="shared" si="459"/>
        <v/>
      </c>
      <c r="AH402" s="288" t="str">
        <f t="shared" si="460"/>
        <v/>
      </c>
      <c r="AI402" s="36">
        <f t="shared" si="461"/>
        <v>-1</v>
      </c>
      <c r="AJ402" s="36">
        <f t="shared" si="462"/>
        <v>-1</v>
      </c>
      <c r="AK402" s="36">
        <f t="shared" si="463"/>
        <v>-1</v>
      </c>
      <c r="AL402" s="36"/>
      <c r="AM402" s="36" t="str">
        <f t="shared" si="484"/>
        <v/>
      </c>
      <c r="AN402" s="288" t="str">
        <f t="shared" si="464"/>
        <v/>
      </c>
      <c r="AO402" s="288" t="str">
        <f t="shared" si="465"/>
        <v/>
      </c>
      <c r="AP402" s="288" t="str">
        <f t="shared" si="466"/>
        <v/>
      </c>
      <c r="AQ402" s="36">
        <f t="shared" ref="AQ402:AS402" si="500">AQ401</f>
        <v>3.3793103448275866E-2</v>
      </c>
      <c r="AR402" s="36">
        <f t="shared" si="500"/>
        <v>5.9329425287356324E-2</v>
      </c>
      <c r="AS402" s="36">
        <f t="shared" si="500"/>
        <v>8.4865747126436797E-2</v>
      </c>
      <c r="AT402" s="288">
        <f t="shared" si="468"/>
        <v>0.11040206896551726</v>
      </c>
    </row>
    <row r="403" spans="2:46">
      <c r="B403" s="287"/>
      <c r="C403" s="707"/>
      <c r="D403" s="707"/>
      <c r="E403" s="707"/>
      <c r="F403" s="707"/>
      <c r="G403" s="707"/>
      <c r="H403" s="707"/>
      <c r="I403" s="707"/>
      <c r="J403" s="707"/>
      <c r="K403" s="707"/>
      <c r="L403" s="707"/>
      <c r="M403" s="707"/>
      <c r="N403" s="707"/>
      <c r="O403" s="707"/>
      <c r="P403" s="707"/>
      <c r="Q403" s="707"/>
      <c r="R403" s="707"/>
      <c r="S403" s="707"/>
      <c r="T403" s="707"/>
      <c r="U403" s="707"/>
      <c r="V403" s="707"/>
      <c r="W403" s="707"/>
      <c r="X403" s="707"/>
      <c r="Y403" s="707"/>
      <c r="Z403" s="707"/>
      <c r="AA403" s="36" t="str">
        <f t="shared" si="482"/>
        <v/>
      </c>
      <c r="AB403" s="288" t="str">
        <f t="shared" si="454"/>
        <v/>
      </c>
      <c r="AC403" s="288" t="str">
        <f t="shared" si="455"/>
        <v/>
      </c>
      <c r="AD403" s="288" t="str">
        <f t="shared" si="456"/>
        <v/>
      </c>
      <c r="AE403" s="288" t="str">
        <f t="shared" si="457"/>
        <v/>
      </c>
      <c r="AF403" s="288" t="str">
        <f t="shared" si="458"/>
        <v/>
      </c>
      <c r="AG403" s="288" t="str">
        <f t="shared" si="459"/>
        <v/>
      </c>
      <c r="AH403" s="288" t="str">
        <f t="shared" si="460"/>
        <v/>
      </c>
      <c r="AI403" s="36">
        <f t="shared" si="461"/>
        <v>-1</v>
      </c>
      <c r="AJ403" s="36">
        <f t="shared" si="462"/>
        <v>-1</v>
      </c>
      <c r="AK403" s="36">
        <f t="shared" si="463"/>
        <v>-1</v>
      </c>
      <c r="AL403" s="36"/>
      <c r="AM403" s="36" t="str">
        <f t="shared" si="484"/>
        <v/>
      </c>
      <c r="AN403" s="288" t="str">
        <f t="shared" si="464"/>
        <v/>
      </c>
      <c r="AO403" s="288" t="str">
        <f t="shared" si="465"/>
        <v/>
      </c>
      <c r="AP403" s="288" t="str">
        <f t="shared" si="466"/>
        <v/>
      </c>
      <c r="AQ403" s="36">
        <f t="shared" ref="AQ403:AS403" si="501">AQ402</f>
        <v>3.3793103448275866E-2</v>
      </c>
      <c r="AR403" s="36">
        <f t="shared" si="501"/>
        <v>5.9329425287356324E-2</v>
      </c>
      <c r="AS403" s="36">
        <f t="shared" si="501"/>
        <v>8.4865747126436797E-2</v>
      </c>
      <c r="AT403" s="288">
        <f t="shared" si="468"/>
        <v>0.11040206896551726</v>
      </c>
    </row>
    <row r="404" spans="2:46">
      <c r="B404" s="287"/>
      <c r="C404" s="707"/>
      <c r="D404" s="707"/>
      <c r="E404" s="707"/>
      <c r="F404" s="707"/>
      <c r="G404" s="707"/>
      <c r="H404" s="707"/>
      <c r="I404" s="707"/>
      <c r="J404" s="707"/>
      <c r="K404" s="707"/>
      <c r="L404" s="707"/>
      <c r="M404" s="707"/>
      <c r="N404" s="707"/>
      <c r="O404" s="707"/>
      <c r="P404" s="707"/>
      <c r="Q404" s="707"/>
      <c r="R404" s="707"/>
      <c r="S404" s="707"/>
      <c r="T404" s="707"/>
      <c r="U404" s="707"/>
      <c r="V404" s="707"/>
      <c r="W404" s="707"/>
      <c r="X404" s="707"/>
      <c r="Y404" s="707"/>
      <c r="Z404" s="707"/>
      <c r="AA404" s="36" t="str">
        <f t="shared" si="482"/>
        <v/>
      </c>
      <c r="AB404" s="288" t="str">
        <f t="shared" si="454"/>
        <v/>
      </c>
      <c r="AC404" s="288" t="str">
        <f t="shared" si="455"/>
        <v/>
      </c>
      <c r="AD404" s="288" t="str">
        <f t="shared" si="456"/>
        <v/>
      </c>
      <c r="AE404" s="288" t="str">
        <f t="shared" si="457"/>
        <v/>
      </c>
      <c r="AF404" s="288" t="str">
        <f t="shared" si="458"/>
        <v/>
      </c>
      <c r="AG404" s="288" t="str">
        <f t="shared" si="459"/>
        <v/>
      </c>
      <c r="AH404" s="288" t="str">
        <f t="shared" si="460"/>
        <v/>
      </c>
      <c r="AI404" s="36">
        <f t="shared" si="461"/>
        <v>-1</v>
      </c>
      <c r="AJ404" s="36">
        <f t="shared" si="462"/>
        <v>-1</v>
      </c>
      <c r="AK404" s="36">
        <f t="shared" si="463"/>
        <v>-1</v>
      </c>
      <c r="AL404" s="36"/>
      <c r="AM404" s="36" t="str">
        <f t="shared" si="484"/>
        <v/>
      </c>
      <c r="AN404" s="288" t="str">
        <f t="shared" si="464"/>
        <v/>
      </c>
      <c r="AO404" s="288" t="str">
        <f t="shared" si="465"/>
        <v/>
      </c>
      <c r="AP404" s="288" t="str">
        <f t="shared" si="466"/>
        <v/>
      </c>
      <c r="AQ404" s="36">
        <f t="shared" ref="AQ404:AS404" si="502">AQ403</f>
        <v>3.3793103448275866E-2</v>
      </c>
      <c r="AR404" s="36">
        <f t="shared" si="502"/>
        <v>5.9329425287356324E-2</v>
      </c>
      <c r="AS404" s="36">
        <f t="shared" si="502"/>
        <v>8.4865747126436797E-2</v>
      </c>
      <c r="AT404" s="288">
        <f t="shared" si="468"/>
        <v>0.11040206896551726</v>
      </c>
    </row>
    <row r="405" spans="2:46">
      <c r="B405" s="287"/>
      <c r="C405" s="707"/>
      <c r="D405" s="707"/>
      <c r="E405" s="707"/>
      <c r="F405" s="707"/>
      <c r="G405" s="707"/>
      <c r="H405" s="707"/>
      <c r="I405" s="707"/>
      <c r="J405" s="707"/>
      <c r="K405" s="707"/>
      <c r="L405" s="707"/>
      <c r="M405" s="707"/>
      <c r="N405" s="707"/>
      <c r="O405" s="707"/>
      <c r="P405" s="707"/>
      <c r="Q405" s="707"/>
      <c r="R405" s="707"/>
      <c r="S405" s="707"/>
      <c r="T405" s="707"/>
      <c r="U405" s="707"/>
      <c r="V405" s="707"/>
      <c r="W405" s="707"/>
      <c r="X405" s="707"/>
      <c r="Y405" s="707"/>
      <c r="Z405" s="707"/>
      <c r="AA405" s="36" t="str">
        <f t="shared" si="482"/>
        <v/>
      </c>
      <c r="AB405" s="288" t="str">
        <f t="shared" si="454"/>
        <v/>
      </c>
      <c r="AC405" s="288" t="str">
        <f t="shared" si="455"/>
        <v/>
      </c>
      <c r="AD405" s="288" t="str">
        <f t="shared" si="456"/>
        <v/>
      </c>
      <c r="AE405" s="288" t="str">
        <f t="shared" si="457"/>
        <v/>
      </c>
      <c r="AF405" s="288" t="str">
        <f t="shared" si="458"/>
        <v/>
      </c>
      <c r="AG405" s="288" t="str">
        <f t="shared" si="459"/>
        <v/>
      </c>
      <c r="AH405" s="288" t="str">
        <f t="shared" si="460"/>
        <v/>
      </c>
      <c r="AI405" s="36">
        <f t="shared" si="461"/>
        <v>-1</v>
      </c>
      <c r="AJ405" s="36">
        <f t="shared" si="462"/>
        <v>-1</v>
      </c>
      <c r="AK405" s="36">
        <f t="shared" si="463"/>
        <v>-1</v>
      </c>
      <c r="AL405" s="36"/>
      <c r="AM405" s="36" t="str">
        <f t="shared" si="484"/>
        <v/>
      </c>
      <c r="AN405" s="288" t="str">
        <f t="shared" si="464"/>
        <v/>
      </c>
      <c r="AO405" s="288" t="str">
        <f t="shared" si="465"/>
        <v/>
      </c>
      <c r="AP405" s="288" t="str">
        <f t="shared" si="466"/>
        <v/>
      </c>
      <c r="AQ405" s="36">
        <f t="shared" ref="AQ405:AS405" si="503">AQ404</f>
        <v>3.3793103448275866E-2</v>
      </c>
      <c r="AR405" s="36">
        <f t="shared" si="503"/>
        <v>5.9329425287356324E-2</v>
      </c>
      <c r="AS405" s="36">
        <f t="shared" si="503"/>
        <v>8.4865747126436797E-2</v>
      </c>
      <c r="AT405" s="288">
        <f t="shared" si="468"/>
        <v>0.11040206896551726</v>
      </c>
    </row>
    <row r="406" spans="2:46">
      <c r="B406" s="287"/>
      <c r="C406" s="707"/>
      <c r="D406" s="707"/>
      <c r="E406" s="707"/>
      <c r="F406" s="707"/>
      <c r="G406" s="707"/>
      <c r="H406" s="707"/>
      <c r="I406" s="707"/>
      <c r="J406" s="707"/>
      <c r="K406" s="707"/>
      <c r="L406" s="707"/>
      <c r="M406" s="707"/>
      <c r="N406" s="707"/>
      <c r="O406" s="707"/>
      <c r="P406" s="707"/>
      <c r="Q406" s="707"/>
      <c r="R406" s="707"/>
      <c r="S406" s="707"/>
      <c r="T406" s="707"/>
      <c r="U406" s="707"/>
      <c r="V406" s="707"/>
      <c r="W406" s="707"/>
      <c r="X406" s="707"/>
      <c r="Y406" s="707"/>
      <c r="Z406" s="707"/>
      <c r="AA406" s="36" t="str">
        <f t="shared" si="482"/>
        <v/>
      </c>
      <c r="AB406" s="288" t="str">
        <f t="shared" si="454"/>
        <v/>
      </c>
      <c r="AC406" s="288" t="str">
        <f t="shared" si="455"/>
        <v/>
      </c>
      <c r="AD406" s="288" t="str">
        <f t="shared" si="456"/>
        <v/>
      </c>
      <c r="AE406" s="288" t="str">
        <f t="shared" si="457"/>
        <v/>
      </c>
      <c r="AF406" s="288" t="str">
        <f t="shared" si="458"/>
        <v/>
      </c>
      <c r="AG406" s="288" t="str">
        <f t="shared" si="459"/>
        <v/>
      </c>
      <c r="AH406" s="288" t="str">
        <f t="shared" si="460"/>
        <v/>
      </c>
      <c r="AI406" s="36">
        <f t="shared" si="461"/>
        <v>-1</v>
      </c>
      <c r="AJ406" s="36">
        <f t="shared" si="462"/>
        <v>-1</v>
      </c>
      <c r="AK406" s="36">
        <f t="shared" si="463"/>
        <v>-1</v>
      </c>
      <c r="AL406" s="36"/>
      <c r="AM406" s="36" t="str">
        <f t="shared" si="484"/>
        <v/>
      </c>
      <c r="AN406" s="288" t="str">
        <f t="shared" si="464"/>
        <v/>
      </c>
      <c r="AO406" s="288" t="str">
        <f t="shared" si="465"/>
        <v/>
      </c>
      <c r="AP406" s="288" t="str">
        <f t="shared" si="466"/>
        <v/>
      </c>
      <c r="AQ406" s="36">
        <f t="shared" ref="AQ406:AS406" si="504">AQ405</f>
        <v>3.3793103448275866E-2</v>
      </c>
      <c r="AR406" s="36">
        <f t="shared" si="504"/>
        <v>5.9329425287356324E-2</v>
      </c>
      <c r="AS406" s="36">
        <f t="shared" si="504"/>
        <v>8.4865747126436797E-2</v>
      </c>
      <c r="AT406" s="288">
        <f t="shared" si="468"/>
        <v>0.11040206896551726</v>
      </c>
    </row>
    <row r="407" spans="2:46">
      <c r="B407" s="287"/>
      <c r="C407" s="707"/>
      <c r="D407" s="707"/>
      <c r="E407" s="707"/>
      <c r="F407" s="707"/>
      <c r="G407" s="707"/>
      <c r="H407" s="707"/>
      <c r="I407" s="707"/>
      <c r="J407" s="707"/>
      <c r="K407" s="707"/>
      <c r="L407" s="707"/>
      <c r="M407" s="707"/>
      <c r="N407" s="707"/>
      <c r="O407" s="707"/>
      <c r="P407" s="707"/>
      <c r="Q407" s="707"/>
      <c r="R407" s="707"/>
      <c r="S407" s="707"/>
      <c r="T407" s="707"/>
      <c r="U407" s="707"/>
      <c r="V407" s="707"/>
      <c r="W407" s="707"/>
      <c r="X407" s="707"/>
      <c r="Y407" s="707"/>
      <c r="Z407" s="707"/>
      <c r="AA407" s="36" t="str">
        <f t="shared" si="482"/>
        <v/>
      </c>
      <c r="AB407" s="288" t="str">
        <f t="shared" si="454"/>
        <v/>
      </c>
      <c r="AC407" s="288" t="str">
        <f t="shared" si="455"/>
        <v/>
      </c>
      <c r="AD407" s="288" t="str">
        <f t="shared" si="456"/>
        <v/>
      </c>
      <c r="AE407" s="288" t="str">
        <f t="shared" si="457"/>
        <v/>
      </c>
      <c r="AF407" s="288" t="str">
        <f t="shared" si="458"/>
        <v/>
      </c>
      <c r="AG407" s="288" t="str">
        <f t="shared" si="459"/>
        <v/>
      </c>
      <c r="AH407" s="288" t="str">
        <f t="shared" si="460"/>
        <v/>
      </c>
      <c r="AI407" s="36">
        <f t="shared" si="461"/>
        <v>-1</v>
      </c>
      <c r="AJ407" s="36">
        <f t="shared" si="462"/>
        <v>-1</v>
      </c>
      <c r="AK407" s="36">
        <f t="shared" si="463"/>
        <v>-1</v>
      </c>
      <c r="AL407" s="36"/>
      <c r="AM407" s="36" t="str">
        <f t="shared" si="484"/>
        <v/>
      </c>
      <c r="AN407" s="288" t="str">
        <f t="shared" si="464"/>
        <v/>
      </c>
      <c r="AO407" s="288" t="str">
        <f t="shared" si="465"/>
        <v/>
      </c>
      <c r="AP407" s="288" t="str">
        <f t="shared" si="466"/>
        <v/>
      </c>
      <c r="AQ407" s="36">
        <f t="shared" ref="AQ407:AS407" si="505">AQ406</f>
        <v>3.3793103448275866E-2</v>
      </c>
      <c r="AR407" s="36">
        <f t="shared" si="505"/>
        <v>5.9329425287356324E-2</v>
      </c>
      <c r="AS407" s="36">
        <f t="shared" si="505"/>
        <v>8.4865747126436797E-2</v>
      </c>
      <c r="AT407" s="288">
        <f t="shared" si="468"/>
        <v>0.11040206896551726</v>
      </c>
    </row>
    <row r="408" spans="2:46">
      <c r="B408" s="287"/>
      <c r="C408" s="707"/>
      <c r="D408" s="707"/>
      <c r="E408" s="707"/>
      <c r="F408" s="707"/>
      <c r="G408" s="707"/>
      <c r="H408" s="707"/>
      <c r="I408" s="707"/>
      <c r="J408" s="707"/>
      <c r="K408" s="707"/>
      <c r="L408" s="707"/>
      <c r="M408" s="707"/>
      <c r="N408" s="707"/>
      <c r="O408" s="707"/>
      <c r="P408" s="707"/>
      <c r="Q408" s="707"/>
      <c r="R408" s="707"/>
      <c r="S408" s="707"/>
      <c r="T408" s="707"/>
      <c r="U408" s="707"/>
      <c r="V408" s="707"/>
      <c r="W408" s="707"/>
      <c r="X408" s="707"/>
      <c r="Y408" s="707"/>
      <c r="Z408" s="707"/>
      <c r="AA408" s="36" t="str">
        <f t="shared" si="482"/>
        <v/>
      </c>
      <c r="AB408" s="288" t="str">
        <f t="shared" si="454"/>
        <v/>
      </c>
      <c r="AC408" s="288" t="str">
        <f t="shared" si="455"/>
        <v/>
      </c>
      <c r="AD408" s="288" t="str">
        <f t="shared" si="456"/>
        <v/>
      </c>
      <c r="AE408" s="288" t="str">
        <f t="shared" si="457"/>
        <v/>
      </c>
      <c r="AF408" s="288" t="str">
        <f t="shared" si="458"/>
        <v/>
      </c>
      <c r="AG408" s="288" t="str">
        <f t="shared" si="459"/>
        <v/>
      </c>
      <c r="AH408" s="288" t="str">
        <f t="shared" si="460"/>
        <v/>
      </c>
      <c r="AI408" s="36">
        <f t="shared" si="461"/>
        <v>-1</v>
      </c>
      <c r="AJ408" s="36">
        <f t="shared" si="462"/>
        <v>-1</v>
      </c>
      <c r="AK408" s="36">
        <f t="shared" si="463"/>
        <v>-1</v>
      </c>
      <c r="AL408" s="36"/>
      <c r="AM408" s="36" t="str">
        <f t="shared" si="484"/>
        <v/>
      </c>
      <c r="AN408" s="288" t="str">
        <f t="shared" si="464"/>
        <v/>
      </c>
      <c r="AO408" s="288" t="str">
        <f t="shared" si="465"/>
        <v/>
      </c>
      <c r="AP408" s="288" t="str">
        <f t="shared" si="466"/>
        <v/>
      </c>
      <c r="AQ408" s="36">
        <f t="shared" ref="AQ408:AS408" si="506">AQ407</f>
        <v>3.3793103448275866E-2</v>
      </c>
      <c r="AR408" s="36">
        <f t="shared" si="506"/>
        <v>5.9329425287356324E-2</v>
      </c>
      <c r="AS408" s="36">
        <f t="shared" si="506"/>
        <v>8.4865747126436797E-2</v>
      </c>
      <c r="AT408" s="288">
        <f t="shared" si="468"/>
        <v>0.11040206896551726</v>
      </c>
    </row>
    <row r="409" spans="2:46">
      <c r="B409" s="287"/>
      <c r="C409" s="707"/>
      <c r="D409" s="707"/>
      <c r="E409" s="707"/>
      <c r="F409" s="707"/>
      <c r="G409" s="707"/>
      <c r="H409" s="707"/>
      <c r="I409" s="707"/>
      <c r="J409" s="707"/>
      <c r="K409" s="707"/>
      <c r="L409" s="707"/>
      <c r="M409" s="707"/>
      <c r="N409" s="707"/>
      <c r="O409" s="707"/>
      <c r="P409" s="707"/>
      <c r="Q409" s="707"/>
      <c r="R409" s="707"/>
      <c r="S409" s="707"/>
      <c r="T409" s="707"/>
      <c r="U409" s="707"/>
      <c r="V409" s="707"/>
      <c r="W409" s="707"/>
      <c r="X409" s="707"/>
      <c r="Y409" s="707"/>
      <c r="Z409" s="707"/>
      <c r="AA409" s="36" t="str">
        <f t="shared" si="482"/>
        <v/>
      </c>
      <c r="AB409" s="288" t="str">
        <f t="shared" si="454"/>
        <v/>
      </c>
      <c r="AC409" s="288" t="str">
        <f t="shared" si="455"/>
        <v/>
      </c>
      <c r="AD409" s="288" t="str">
        <f t="shared" si="456"/>
        <v/>
      </c>
      <c r="AE409" s="288" t="str">
        <f t="shared" si="457"/>
        <v/>
      </c>
      <c r="AF409" s="288" t="str">
        <f t="shared" si="458"/>
        <v/>
      </c>
      <c r="AG409" s="288" t="str">
        <f t="shared" si="459"/>
        <v/>
      </c>
      <c r="AH409" s="288" t="str">
        <f t="shared" si="460"/>
        <v/>
      </c>
      <c r="AI409" s="36">
        <f t="shared" si="461"/>
        <v>-1</v>
      </c>
      <c r="AJ409" s="36">
        <f t="shared" si="462"/>
        <v>-1</v>
      </c>
      <c r="AK409" s="36">
        <f t="shared" si="463"/>
        <v>-1</v>
      </c>
      <c r="AL409" s="36"/>
      <c r="AM409" s="36" t="str">
        <f t="shared" si="484"/>
        <v/>
      </c>
      <c r="AN409" s="288" t="str">
        <f t="shared" si="464"/>
        <v/>
      </c>
      <c r="AO409" s="288" t="str">
        <f t="shared" si="465"/>
        <v/>
      </c>
      <c r="AP409" s="288" t="str">
        <f t="shared" si="466"/>
        <v/>
      </c>
      <c r="AQ409" s="36">
        <f t="shared" ref="AQ409:AS409" si="507">AQ408</f>
        <v>3.3793103448275866E-2</v>
      </c>
      <c r="AR409" s="36">
        <f t="shared" si="507"/>
        <v>5.9329425287356324E-2</v>
      </c>
      <c r="AS409" s="36">
        <f t="shared" si="507"/>
        <v>8.4865747126436797E-2</v>
      </c>
      <c r="AT409" s="288">
        <f t="shared" si="468"/>
        <v>0.11040206896551726</v>
      </c>
    </row>
    <row r="410" spans="2:46">
      <c r="B410" s="287"/>
      <c r="C410" s="707"/>
      <c r="D410" s="707"/>
      <c r="E410" s="707"/>
      <c r="F410" s="707"/>
      <c r="G410" s="707"/>
      <c r="H410" s="707"/>
      <c r="I410" s="707"/>
      <c r="J410" s="707"/>
      <c r="K410" s="707"/>
      <c r="L410" s="707"/>
      <c r="M410" s="707"/>
      <c r="N410" s="707"/>
      <c r="O410" s="707"/>
      <c r="P410" s="707"/>
      <c r="Q410" s="707"/>
      <c r="R410" s="707"/>
      <c r="S410" s="707"/>
      <c r="T410" s="707"/>
      <c r="U410" s="707"/>
      <c r="V410" s="707"/>
      <c r="W410" s="707"/>
      <c r="X410" s="707"/>
      <c r="Y410" s="707"/>
      <c r="Z410" s="707"/>
      <c r="AA410" s="36" t="str">
        <f t="shared" si="482"/>
        <v/>
      </c>
      <c r="AB410" s="288" t="str">
        <f t="shared" si="454"/>
        <v/>
      </c>
      <c r="AC410" s="288" t="str">
        <f t="shared" si="455"/>
        <v/>
      </c>
      <c r="AD410" s="288" t="str">
        <f t="shared" si="456"/>
        <v/>
      </c>
      <c r="AE410" s="288" t="str">
        <f t="shared" si="457"/>
        <v/>
      </c>
      <c r="AF410" s="288" t="str">
        <f t="shared" si="458"/>
        <v/>
      </c>
      <c r="AG410" s="288" t="str">
        <f t="shared" si="459"/>
        <v/>
      </c>
      <c r="AH410" s="288" t="str">
        <f t="shared" si="460"/>
        <v/>
      </c>
      <c r="AI410" s="36">
        <f t="shared" si="461"/>
        <v>-1</v>
      </c>
      <c r="AJ410" s="36">
        <f t="shared" si="462"/>
        <v>-1</v>
      </c>
      <c r="AK410" s="36">
        <f t="shared" si="463"/>
        <v>-1</v>
      </c>
      <c r="AL410" s="36"/>
      <c r="AM410" s="36" t="str">
        <f t="shared" si="484"/>
        <v/>
      </c>
      <c r="AN410" s="288" t="str">
        <f t="shared" si="464"/>
        <v/>
      </c>
      <c r="AO410" s="288" t="str">
        <f t="shared" si="465"/>
        <v/>
      </c>
      <c r="AP410" s="288" t="str">
        <f t="shared" si="466"/>
        <v/>
      </c>
      <c r="AQ410" s="36">
        <f t="shared" ref="AQ410:AS410" si="508">AQ409</f>
        <v>3.3793103448275866E-2</v>
      </c>
      <c r="AR410" s="36">
        <f t="shared" si="508"/>
        <v>5.9329425287356324E-2</v>
      </c>
      <c r="AS410" s="36">
        <f t="shared" si="508"/>
        <v>8.4865747126436797E-2</v>
      </c>
      <c r="AT410" s="288">
        <f t="shared" si="468"/>
        <v>0.11040206896551726</v>
      </c>
    </row>
    <row r="411" spans="2:46">
      <c r="B411" s="287"/>
      <c r="C411" s="707"/>
      <c r="D411" s="707"/>
      <c r="E411" s="707"/>
      <c r="F411" s="707"/>
      <c r="G411" s="707"/>
      <c r="H411" s="707"/>
      <c r="I411" s="707"/>
      <c r="J411" s="707"/>
      <c r="K411" s="707"/>
      <c r="L411" s="707"/>
      <c r="M411" s="707"/>
      <c r="N411" s="707"/>
      <c r="O411" s="707"/>
      <c r="P411" s="707"/>
      <c r="Q411" s="707"/>
      <c r="R411" s="707"/>
      <c r="S411" s="707"/>
      <c r="T411" s="707"/>
      <c r="U411" s="707"/>
      <c r="V411" s="707"/>
      <c r="W411" s="707"/>
      <c r="X411" s="707"/>
      <c r="Y411" s="707"/>
      <c r="Z411" s="707"/>
      <c r="AA411" s="36" t="str">
        <f t="shared" si="482"/>
        <v/>
      </c>
      <c r="AB411" s="288" t="str">
        <f t="shared" si="454"/>
        <v/>
      </c>
      <c r="AC411" s="288" t="str">
        <f t="shared" si="455"/>
        <v/>
      </c>
      <c r="AD411" s="288" t="str">
        <f t="shared" si="456"/>
        <v/>
      </c>
      <c r="AE411" s="288" t="str">
        <f t="shared" si="457"/>
        <v/>
      </c>
      <c r="AF411" s="288" t="str">
        <f t="shared" si="458"/>
        <v/>
      </c>
      <c r="AG411" s="288" t="str">
        <f t="shared" si="459"/>
        <v/>
      </c>
      <c r="AH411" s="288" t="str">
        <f t="shared" si="460"/>
        <v/>
      </c>
      <c r="AI411" s="36">
        <f t="shared" si="461"/>
        <v>-1</v>
      </c>
      <c r="AJ411" s="36">
        <f t="shared" si="462"/>
        <v>-1</v>
      </c>
      <c r="AK411" s="36">
        <f t="shared" si="463"/>
        <v>-1</v>
      </c>
      <c r="AL411" s="36"/>
      <c r="AM411" s="36" t="str">
        <f t="shared" si="484"/>
        <v/>
      </c>
      <c r="AN411" s="288" t="str">
        <f t="shared" si="464"/>
        <v/>
      </c>
      <c r="AO411" s="288" t="str">
        <f t="shared" si="465"/>
        <v/>
      </c>
      <c r="AP411" s="288" t="str">
        <f t="shared" si="466"/>
        <v/>
      </c>
      <c r="AQ411" s="36">
        <f t="shared" ref="AQ411:AS411" si="509">AQ410</f>
        <v>3.3793103448275866E-2</v>
      </c>
      <c r="AR411" s="36">
        <f t="shared" si="509"/>
        <v>5.9329425287356324E-2</v>
      </c>
      <c r="AS411" s="36">
        <f t="shared" si="509"/>
        <v>8.4865747126436797E-2</v>
      </c>
      <c r="AT411" s="288">
        <f t="shared" si="468"/>
        <v>0.11040206896551726</v>
      </c>
    </row>
    <row r="412" spans="2:46">
      <c r="B412" s="287"/>
      <c r="C412" s="707"/>
      <c r="D412" s="707"/>
      <c r="E412" s="707"/>
      <c r="F412" s="707"/>
      <c r="G412" s="707"/>
      <c r="H412" s="707"/>
      <c r="I412" s="707"/>
      <c r="J412" s="707"/>
      <c r="K412" s="707"/>
      <c r="L412" s="707"/>
      <c r="M412" s="707"/>
      <c r="N412" s="707"/>
      <c r="O412" s="707"/>
      <c r="P412" s="707"/>
      <c r="Q412" s="707"/>
      <c r="R412" s="707"/>
      <c r="S412" s="707"/>
      <c r="T412" s="707"/>
      <c r="U412" s="707"/>
      <c r="V412" s="707"/>
      <c r="W412" s="707"/>
      <c r="X412" s="707"/>
      <c r="Y412" s="707"/>
      <c r="Z412" s="707"/>
      <c r="AA412" s="36" t="str">
        <f t="shared" si="482"/>
        <v/>
      </c>
      <c r="AB412" s="288" t="str">
        <f t="shared" si="454"/>
        <v/>
      </c>
      <c r="AC412" s="288" t="str">
        <f t="shared" si="455"/>
        <v/>
      </c>
      <c r="AD412" s="288" t="str">
        <f t="shared" si="456"/>
        <v/>
      </c>
      <c r="AE412" s="288" t="str">
        <f t="shared" si="457"/>
        <v/>
      </c>
      <c r="AF412" s="288" t="str">
        <f t="shared" si="458"/>
        <v/>
      </c>
      <c r="AG412" s="288" t="str">
        <f t="shared" si="459"/>
        <v/>
      </c>
      <c r="AH412" s="288" t="str">
        <f t="shared" si="460"/>
        <v/>
      </c>
      <c r="AI412" s="36">
        <f t="shared" si="461"/>
        <v>-1</v>
      </c>
      <c r="AJ412" s="36">
        <f t="shared" si="462"/>
        <v>-1</v>
      </c>
      <c r="AK412" s="36">
        <f t="shared" si="463"/>
        <v>-1</v>
      </c>
      <c r="AL412" s="36"/>
      <c r="AM412" s="36" t="str">
        <f t="shared" si="484"/>
        <v/>
      </c>
      <c r="AN412" s="288" t="str">
        <f t="shared" si="464"/>
        <v/>
      </c>
      <c r="AO412" s="288" t="str">
        <f t="shared" si="465"/>
        <v/>
      </c>
      <c r="AP412" s="288" t="str">
        <f t="shared" si="466"/>
        <v/>
      </c>
      <c r="AQ412" s="36">
        <f t="shared" ref="AQ412:AS412" si="510">AQ411</f>
        <v>3.3793103448275866E-2</v>
      </c>
      <c r="AR412" s="36">
        <f t="shared" si="510"/>
        <v>5.9329425287356324E-2</v>
      </c>
      <c r="AS412" s="36">
        <f t="shared" si="510"/>
        <v>8.4865747126436797E-2</v>
      </c>
      <c r="AT412" s="288">
        <f t="shared" si="468"/>
        <v>0.11040206896551726</v>
      </c>
    </row>
    <row r="413" spans="2:46">
      <c r="B413" s="287"/>
      <c r="C413" s="707"/>
      <c r="D413" s="707"/>
      <c r="E413" s="707"/>
      <c r="F413" s="707"/>
      <c r="G413" s="707"/>
      <c r="H413" s="707"/>
      <c r="I413" s="707"/>
      <c r="J413" s="707"/>
      <c r="K413" s="707"/>
      <c r="L413" s="707"/>
      <c r="M413" s="707"/>
      <c r="N413" s="707"/>
      <c r="O413" s="707"/>
      <c r="P413" s="707"/>
      <c r="Q413" s="707"/>
      <c r="R413" s="707"/>
      <c r="S413" s="707"/>
      <c r="T413" s="707"/>
      <c r="U413" s="707"/>
      <c r="V413" s="707"/>
      <c r="W413" s="707"/>
      <c r="X413" s="707"/>
      <c r="Y413" s="707"/>
      <c r="Z413" s="707"/>
      <c r="AA413" s="36" t="str">
        <f t="shared" si="482"/>
        <v/>
      </c>
      <c r="AB413" s="288" t="str">
        <f t="shared" si="454"/>
        <v/>
      </c>
      <c r="AC413" s="288" t="str">
        <f t="shared" si="455"/>
        <v/>
      </c>
      <c r="AD413" s="288" t="str">
        <f t="shared" si="456"/>
        <v/>
      </c>
      <c r="AE413" s="288" t="str">
        <f t="shared" si="457"/>
        <v/>
      </c>
      <c r="AF413" s="288" t="str">
        <f t="shared" si="458"/>
        <v/>
      </c>
      <c r="AG413" s="288" t="str">
        <f t="shared" si="459"/>
        <v/>
      </c>
      <c r="AH413" s="288" t="str">
        <f t="shared" si="460"/>
        <v/>
      </c>
      <c r="AI413" s="36">
        <f t="shared" si="461"/>
        <v>-1</v>
      </c>
      <c r="AJ413" s="36">
        <f t="shared" si="462"/>
        <v>-1</v>
      </c>
      <c r="AK413" s="36">
        <f t="shared" si="463"/>
        <v>-1</v>
      </c>
      <c r="AL413" s="36"/>
      <c r="AM413" s="36" t="str">
        <f t="shared" si="484"/>
        <v/>
      </c>
      <c r="AN413" s="288" t="str">
        <f t="shared" si="464"/>
        <v/>
      </c>
      <c r="AO413" s="288" t="str">
        <f t="shared" si="465"/>
        <v/>
      </c>
      <c r="AP413" s="288" t="str">
        <f t="shared" si="466"/>
        <v/>
      </c>
      <c r="AQ413" s="36">
        <f t="shared" ref="AQ413:AS413" si="511">AQ412</f>
        <v>3.3793103448275866E-2</v>
      </c>
      <c r="AR413" s="36">
        <f t="shared" si="511"/>
        <v>5.9329425287356324E-2</v>
      </c>
      <c r="AS413" s="36">
        <f t="shared" si="511"/>
        <v>8.4865747126436797E-2</v>
      </c>
      <c r="AT413" s="288">
        <f t="shared" si="468"/>
        <v>0.11040206896551726</v>
      </c>
    </row>
    <row r="414" spans="2:46">
      <c r="B414" s="287"/>
      <c r="C414" s="707"/>
      <c r="D414" s="707"/>
      <c r="E414" s="707"/>
      <c r="F414" s="707"/>
      <c r="G414" s="707"/>
      <c r="H414" s="707"/>
      <c r="I414" s="707"/>
      <c r="J414" s="707"/>
      <c r="K414" s="707"/>
      <c r="L414" s="707"/>
      <c r="M414" s="707"/>
      <c r="N414" s="707"/>
      <c r="O414" s="707"/>
      <c r="P414" s="707"/>
      <c r="Q414" s="707"/>
      <c r="R414" s="707"/>
      <c r="S414" s="707"/>
      <c r="T414" s="707"/>
      <c r="U414" s="707"/>
      <c r="V414" s="707"/>
      <c r="W414" s="707"/>
      <c r="X414" s="707"/>
      <c r="Y414" s="707"/>
      <c r="Z414" s="707"/>
      <c r="AA414" s="36" t="str">
        <f t="shared" si="482"/>
        <v/>
      </c>
      <c r="AB414" s="288" t="str">
        <f t="shared" si="454"/>
        <v/>
      </c>
      <c r="AC414" s="288" t="str">
        <f t="shared" si="455"/>
        <v/>
      </c>
      <c r="AD414" s="288" t="str">
        <f t="shared" si="456"/>
        <v/>
      </c>
      <c r="AE414" s="288" t="str">
        <f t="shared" si="457"/>
        <v/>
      </c>
      <c r="AF414" s="288" t="str">
        <f t="shared" si="458"/>
        <v/>
      </c>
      <c r="AG414" s="288" t="str">
        <f t="shared" si="459"/>
        <v/>
      </c>
      <c r="AH414" s="288" t="str">
        <f t="shared" si="460"/>
        <v/>
      </c>
      <c r="AI414" s="36">
        <f t="shared" si="461"/>
        <v>-1</v>
      </c>
      <c r="AJ414" s="36">
        <f t="shared" si="462"/>
        <v>-1</v>
      </c>
      <c r="AK414" s="36">
        <f t="shared" si="463"/>
        <v>-1</v>
      </c>
      <c r="AL414" s="36"/>
      <c r="AM414" s="36" t="str">
        <f t="shared" si="484"/>
        <v/>
      </c>
      <c r="AN414" s="288" t="str">
        <f t="shared" si="464"/>
        <v/>
      </c>
      <c r="AO414" s="288" t="str">
        <f t="shared" si="465"/>
        <v/>
      </c>
      <c r="AP414" s="288" t="str">
        <f t="shared" si="466"/>
        <v/>
      </c>
      <c r="AQ414" s="36">
        <f t="shared" ref="AQ414:AS414" si="512">AQ413</f>
        <v>3.3793103448275866E-2</v>
      </c>
      <c r="AR414" s="36">
        <f t="shared" si="512"/>
        <v>5.9329425287356324E-2</v>
      </c>
      <c r="AS414" s="36">
        <f t="shared" si="512"/>
        <v>8.4865747126436797E-2</v>
      </c>
      <c r="AT414" s="288">
        <f t="shared" si="468"/>
        <v>0.11040206896551726</v>
      </c>
    </row>
    <row r="415" spans="2:46">
      <c r="B415" s="287"/>
      <c r="C415" s="707"/>
      <c r="D415" s="707"/>
      <c r="E415" s="707"/>
      <c r="F415" s="707"/>
      <c r="G415" s="707"/>
      <c r="H415" s="707"/>
      <c r="I415" s="707"/>
      <c r="J415" s="707"/>
      <c r="K415" s="707"/>
      <c r="L415" s="707"/>
      <c r="M415" s="707"/>
      <c r="N415" s="707"/>
      <c r="O415" s="707"/>
      <c r="P415" s="707"/>
      <c r="Q415" s="707"/>
      <c r="R415" s="707"/>
      <c r="S415" s="707"/>
      <c r="T415" s="707"/>
      <c r="U415" s="707"/>
      <c r="V415" s="707"/>
      <c r="W415" s="707"/>
      <c r="X415" s="707"/>
      <c r="Y415" s="707"/>
      <c r="Z415" s="707"/>
      <c r="AA415" s="36" t="str">
        <f t="shared" si="482"/>
        <v/>
      </c>
      <c r="AB415" s="288" t="str">
        <f t="shared" si="454"/>
        <v/>
      </c>
      <c r="AC415" s="288" t="str">
        <f t="shared" si="455"/>
        <v/>
      </c>
      <c r="AD415" s="288" t="str">
        <f t="shared" si="456"/>
        <v/>
      </c>
      <c r="AE415" s="288" t="str">
        <f t="shared" si="457"/>
        <v/>
      </c>
      <c r="AF415" s="288" t="str">
        <f t="shared" si="458"/>
        <v/>
      </c>
      <c r="AG415" s="288" t="str">
        <f t="shared" si="459"/>
        <v/>
      </c>
      <c r="AH415" s="288" t="str">
        <f t="shared" si="460"/>
        <v/>
      </c>
      <c r="AI415" s="36">
        <f t="shared" si="461"/>
        <v>-1</v>
      </c>
      <c r="AJ415" s="36">
        <f t="shared" si="462"/>
        <v>-1</v>
      </c>
      <c r="AK415" s="36">
        <f t="shared" si="463"/>
        <v>-1</v>
      </c>
      <c r="AL415" s="36"/>
      <c r="AM415" s="36" t="str">
        <f t="shared" si="484"/>
        <v/>
      </c>
      <c r="AN415" s="288" t="str">
        <f t="shared" si="464"/>
        <v/>
      </c>
      <c r="AO415" s="288" t="str">
        <f t="shared" si="465"/>
        <v/>
      </c>
      <c r="AP415" s="288" t="str">
        <f t="shared" si="466"/>
        <v/>
      </c>
      <c r="AQ415" s="36">
        <f t="shared" ref="AQ415:AS415" si="513">AQ414</f>
        <v>3.3793103448275866E-2</v>
      </c>
      <c r="AR415" s="36">
        <f t="shared" si="513"/>
        <v>5.9329425287356324E-2</v>
      </c>
      <c r="AS415" s="36">
        <f t="shared" si="513"/>
        <v>8.4865747126436797E-2</v>
      </c>
      <c r="AT415" s="288">
        <f t="shared" si="468"/>
        <v>0.11040206896551726</v>
      </c>
    </row>
    <row r="416" spans="2:46">
      <c r="B416" s="287"/>
      <c r="C416" s="707"/>
      <c r="D416" s="707"/>
      <c r="E416" s="707"/>
      <c r="F416" s="707"/>
      <c r="G416" s="707"/>
      <c r="H416" s="707"/>
      <c r="I416" s="707"/>
      <c r="J416" s="707"/>
      <c r="K416" s="707"/>
      <c r="L416" s="707"/>
      <c r="M416" s="707"/>
      <c r="N416" s="707"/>
      <c r="O416" s="707"/>
      <c r="P416" s="707"/>
      <c r="Q416" s="707"/>
      <c r="R416" s="707"/>
      <c r="S416" s="707"/>
      <c r="T416" s="707"/>
      <c r="U416" s="707"/>
      <c r="V416" s="707"/>
      <c r="W416" s="707"/>
      <c r="X416" s="707"/>
      <c r="Y416" s="707"/>
      <c r="Z416" s="707"/>
      <c r="AA416" s="36" t="str">
        <f t="shared" si="482"/>
        <v/>
      </c>
      <c r="AB416" s="288" t="str">
        <f t="shared" si="454"/>
        <v/>
      </c>
      <c r="AC416" s="288" t="str">
        <f t="shared" si="455"/>
        <v/>
      </c>
      <c r="AD416" s="288" t="str">
        <f t="shared" si="456"/>
        <v/>
      </c>
      <c r="AE416" s="288" t="str">
        <f t="shared" si="457"/>
        <v/>
      </c>
      <c r="AF416" s="288" t="str">
        <f t="shared" si="458"/>
        <v/>
      </c>
      <c r="AG416" s="288" t="str">
        <f t="shared" si="459"/>
        <v/>
      </c>
      <c r="AH416" s="288" t="str">
        <f t="shared" si="460"/>
        <v/>
      </c>
      <c r="AI416" s="36">
        <f t="shared" si="461"/>
        <v>-1</v>
      </c>
      <c r="AJ416" s="36">
        <f t="shared" si="462"/>
        <v>-1</v>
      </c>
      <c r="AK416" s="36">
        <f t="shared" si="463"/>
        <v>-1</v>
      </c>
      <c r="AL416" s="36"/>
      <c r="AM416" s="36" t="str">
        <f t="shared" si="484"/>
        <v/>
      </c>
      <c r="AN416" s="288" t="str">
        <f t="shared" si="464"/>
        <v/>
      </c>
      <c r="AO416" s="288" t="str">
        <f t="shared" si="465"/>
        <v/>
      </c>
      <c r="AP416" s="288" t="str">
        <f t="shared" si="466"/>
        <v/>
      </c>
      <c r="AQ416" s="36">
        <f t="shared" ref="AQ416:AS416" si="514">AQ415</f>
        <v>3.3793103448275866E-2</v>
      </c>
      <c r="AR416" s="36">
        <f t="shared" si="514"/>
        <v>5.9329425287356324E-2</v>
      </c>
      <c r="AS416" s="36">
        <f t="shared" si="514"/>
        <v>8.4865747126436797E-2</v>
      </c>
      <c r="AT416" s="288">
        <f t="shared" si="468"/>
        <v>0.11040206896551726</v>
      </c>
    </row>
    <row r="417" spans="2:46">
      <c r="B417" s="287"/>
      <c r="C417" s="707"/>
      <c r="D417" s="707"/>
      <c r="E417" s="707"/>
      <c r="F417" s="707"/>
      <c r="G417" s="707"/>
      <c r="H417" s="707"/>
      <c r="I417" s="707"/>
      <c r="J417" s="707"/>
      <c r="K417" s="707"/>
      <c r="L417" s="707"/>
      <c r="M417" s="707"/>
      <c r="N417" s="707"/>
      <c r="O417" s="707"/>
      <c r="P417" s="707"/>
      <c r="Q417" s="707"/>
      <c r="R417" s="707"/>
      <c r="S417" s="707"/>
      <c r="T417" s="707"/>
      <c r="U417" s="707"/>
      <c r="V417" s="707"/>
      <c r="W417" s="707"/>
      <c r="X417" s="707"/>
      <c r="Y417" s="707"/>
      <c r="Z417" s="707"/>
      <c r="AA417" s="36" t="str">
        <f t="shared" si="482"/>
        <v/>
      </c>
      <c r="AB417" s="288" t="str">
        <f t="shared" si="454"/>
        <v/>
      </c>
      <c r="AC417" s="288" t="str">
        <f t="shared" si="455"/>
        <v/>
      </c>
      <c r="AD417" s="288" t="str">
        <f t="shared" si="456"/>
        <v/>
      </c>
      <c r="AE417" s="288" t="str">
        <f t="shared" si="457"/>
        <v/>
      </c>
      <c r="AF417" s="288" t="str">
        <f t="shared" si="458"/>
        <v/>
      </c>
      <c r="AG417" s="288" t="str">
        <f t="shared" si="459"/>
        <v/>
      </c>
      <c r="AH417" s="288" t="str">
        <f t="shared" si="460"/>
        <v/>
      </c>
      <c r="AI417" s="36">
        <f t="shared" si="461"/>
        <v>-1</v>
      </c>
      <c r="AJ417" s="36">
        <f t="shared" si="462"/>
        <v>-1</v>
      </c>
      <c r="AK417" s="36">
        <f t="shared" si="463"/>
        <v>-1</v>
      </c>
      <c r="AL417" s="36"/>
      <c r="AM417" s="36" t="str">
        <f t="shared" si="484"/>
        <v/>
      </c>
      <c r="AN417" s="288" t="str">
        <f t="shared" si="464"/>
        <v/>
      </c>
      <c r="AO417" s="288" t="str">
        <f t="shared" si="465"/>
        <v/>
      </c>
      <c r="AP417" s="288" t="str">
        <f t="shared" si="466"/>
        <v/>
      </c>
      <c r="AQ417" s="36">
        <f t="shared" ref="AQ417:AS417" si="515">AQ416</f>
        <v>3.3793103448275866E-2</v>
      </c>
      <c r="AR417" s="36">
        <f t="shared" si="515"/>
        <v>5.9329425287356324E-2</v>
      </c>
      <c r="AS417" s="36">
        <f t="shared" si="515"/>
        <v>8.4865747126436797E-2</v>
      </c>
      <c r="AT417" s="288">
        <f t="shared" si="468"/>
        <v>0.11040206896551726</v>
      </c>
    </row>
    <row r="418" spans="2:46">
      <c r="B418" s="287"/>
      <c r="C418" s="707"/>
      <c r="D418" s="707"/>
      <c r="E418" s="707"/>
      <c r="F418" s="707"/>
      <c r="G418" s="707"/>
      <c r="H418" s="707"/>
      <c r="I418" s="707"/>
      <c r="J418" s="707"/>
      <c r="K418" s="707"/>
      <c r="L418" s="707"/>
      <c r="M418" s="707"/>
      <c r="N418" s="707"/>
      <c r="O418" s="707"/>
      <c r="P418" s="707"/>
      <c r="Q418" s="707"/>
      <c r="R418" s="707"/>
      <c r="S418" s="707"/>
      <c r="T418" s="707"/>
      <c r="U418" s="707"/>
      <c r="V418" s="707"/>
      <c r="W418" s="707"/>
      <c r="X418" s="707"/>
      <c r="Y418" s="707"/>
      <c r="Z418" s="707"/>
      <c r="AA418" s="36" t="str">
        <f t="shared" si="482"/>
        <v/>
      </c>
      <c r="AB418" s="288" t="str">
        <f t="shared" si="454"/>
        <v/>
      </c>
      <c r="AC418" s="288" t="str">
        <f t="shared" si="455"/>
        <v/>
      </c>
      <c r="AD418" s="288" t="str">
        <f t="shared" si="456"/>
        <v/>
      </c>
      <c r="AE418" s="288" t="str">
        <f t="shared" si="457"/>
        <v/>
      </c>
      <c r="AF418" s="288" t="str">
        <f t="shared" si="458"/>
        <v/>
      </c>
      <c r="AG418" s="288" t="str">
        <f t="shared" si="459"/>
        <v/>
      </c>
      <c r="AH418" s="288" t="str">
        <f t="shared" si="460"/>
        <v/>
      </c>
      <c r="AI418" s="36">
        <f t="shared" si="461"/>
        <v>-1</v>
      </c>
      <c r="AJ418" s="36">
        <f t="shared" si="462"/>
        <v>-1</v>
      </c>
      <c r="AK418" s="36">
        <f t="shared" si="463"/>
        <v>-1</v>
      </c>
      <c r="AL418" s="36"/>
      <c r="AM418" s="36" t="str">
        <f t="shared" si="484"/>
        <v/>
      </c>
      <c r="AN418" s="288" t="str">
        <f t="shared" si="464"/>
        <v/>
      </c>
      <c r="AO418" s="288" t="str">
        <f t="shared" si="465"/>
        <v/>
      </c>
      <c r="AP418" s="288" t="str">
        <f t="shared" si="466"/>
        <v/>
      </c>
      <c r="AQ418" s="36">
        <f t="shared" ref="AQ418:AS418" si="516">AQ417</f>
        <v>3.3793103448275866E-2</v>
      </c>
      <c r="AR418" s="36">
        <f t="shared" si="516"/>
        <v>5.9329425287356324E-2</v>
      </c>
      <c r="AS418" s="36">
        <f t="shared" si="516"/>
        <v>8.4865747126436797E-2</v>
      </c>
      <c r="AT418" s="288">
        <f t="shared" si="468"/>
        <v>0.11040206896551726</v>
      </c>
    </row>
    <row r="419" spans="2:46">
      <c r="B419" s="287"/>
      <c r="C419" s="707"/>
      <c r="D419" s="707"/>
      <c r="E419" s="707"/>
      <c r="F419" s="707"/>
      <c r="G419" s="707"/>
      <c r="H419" s="707"/>
      <c r="I419" s="707"/>
      <c r="J419" s="707"/>
      <c r="K419" s="707"/>
      <c r="L419" s="707"/>
      <c r="M419" s="707"/>
      <c r="N419" s="707"/>
      <c r="O419" s="707"/>
      <c r="P419" s="707"/>
      <c r="Q419" s="707"/>
      <c r="R419" s="707"/>
      <c r="S419" s="707"/>
      <c r="T419" s="707"/>
      <c r="U419" s="707"/>
      <c r="V419" s="707"/>
      <c r="W419" s="707"/>
      <c r="X419" s="707"/>
      <c r="Y419" s="707"/>
      <c r="Z419" s="707"/>
      <c r="AA419" s="36" t="str">
        <f t="shared" si="482"/>
        <v/>
      </c>
      <c r="AB419" s="288" t="str">
        <f t="shared" si="454"/>
        <v/>
      </c>
      <c r="AC419" s="288" t="str">
        <f t="shared" si="455"/>
        <v/>
      </c>
      <c r="AD419" s="288" t="str">
        <f t="shared" si="456"/>
        <v/>
      </c>
      <c r="AE419" s="288" t="str">
        <f t="shared" si="457"/>
        <v/>
      </c>
      <c r="AF419" s="288" t="str">
        <f t="shared" si="458"/>
        <v/>
      </c>
      <c r="AG419" s="288" t="str">
        <f t="shared" si="459"/>
        <v/>
      </c>
      <c r="AH419" s="288" t="str">
        <f t="shared" si="460"/>
        <v/>
      </c>
      <c r="AI419" s="36">
        <f t="shared" si="461"/>
        <v>-1</v>
      </c>
      <c r="AJ419" s="36">
        <f t="shared" si="462"/>
        <v>-1</v>
      </c>
      <c r="AK419" s="36">
        <f t="shared" si="463"/>
        <v>-1</v>
      </c>
      <c r="AL419" s="36"/>
      <c r="AM419" s="36" t="str">
        <f t="shared" si="484"/>
        <v/>
      </c>
      <c r="AN419" s="288" t="str">
        <f t="shared" si="464"/>
        <v/>
      </c>
      <c r="AO419" s="288" t="str">
        <f t="shared" si="465"/>
        <v/>
      </c>
      <c r="AP419" s="288" t="str">
        <f t="shared" si="466"/>
        <v/>
      </c>
      <c r="AQ419" s="36">
        <f t="shared" ref="AQ419:AS419" si="517">AQ418</f>
        <v>3.3793103448275866E-2</v>
      </c>
      <c r="AR419" s="36">
        <f t="shared" si="517"/>
        <v>5.9329425287356324E-2</v>
      </c>
      <c r="AS419" s="36">
        <f t="shared" si="517"/>
        <v>8.4865747126436797E-2</v>
      </c>
      <c r="AT419" s="288">
        <f t="shared" si="468"/>
        <v>0.11040206896551726</v>
      </c>
    </row>
    <row r="420" spans="2:46">
      <c r="B420" s="287"/>
      <c r="C420" s="707"/>
      <c r="D420" s="707"/>
      <c r="E420" s="707"/>
      <c r="F420" s="707"/>
      <c r="G420" s="707"/>
      <c r="H420" s="707"/>
      <c r="I420" s="707"/>
      <c r="J420" s="707"/>
      <c r="K420" s="707"/>
      <c r="L420" s="707"/>
      <c r="M420" s="707"/>
      <c r="N420" s="707"/>
      <c r="O420" s="707"/>
      <c r="P420" s="707"/>
      <c r="Q420" s="707"/>
      <c r="R420" s="707"/>
      <c r="S420" s="707"/>
      <c r="T420" s="707"/>
      <c r="U420" s="707"/>
      <c r="V420" s="707"/>
      <c r="W420" s="707"/>
      <c r="X420" s="707"/>
      <c r="Y420" s="707"/>
      <c r="Z420" s="707"/>
      <c r="AA420" s="36" t="str">
        <f t="shared" si="482"/>
        <v/>
      </c>
      <c r="AB420" s="288" t="str">
        <f t="shared" si="454"/>
        <v/>
      </c>
      <c r="AC420" s="288" t="str">
        <f t="shared" si="455"/>
        <v/>
      </c>
      <c r="AD420" s="288" t="str">
        <f t="shared" si="456"/>
        <v/>
      </c>
      <c r="AE420" s="288" t="str">
        <f t="shared" si="457"/>
        <v/>
      </c>
      <c r="AF420" s="288" t="str">
        <f t="shared" si="458"/>
        <v/>
      </c>
      <c r="AG420" s="288" t="str">
        <f t="shared" si="459"/>
        <v/>
      </c>
      <c r="AH420" s="288" t="str">
        <f t="shared" si="460"/>
        <v/>
      </c>
      <c r="AI420" s="36">
        <f t="shared" si="461"/>
        <v>-1</v>
      </c>
      <c r="AJ420" s="36">
        <f t="shared" si="462"/>
        <v>-1</v>
      </c>
      <c r="AK420" s="36">
        <f t="shared" si="463"/>
        <v>-1</v>
      </c>
      <c r="AL420" s="36"/>
      <c r="AM420" s="36" t="str">
        <f t="shared" si="484"/>
        <v/>
      </c>
      <c r="AN420" s="288" t="str">
        <f t="shared" si="464"/>
        <v/>
      </c>
      <c r="AO420" s="288" t="str">
        <f t="shared" si="465"/>
        <v/>
      </c>
      <c r="AP420" s="288" t="str">
        <f t="shared" si="466"/>
        <v/>
      </c>
      <c r="AQ420" s="36">
        <f t="shared" ref="AQ420:AS420" si="518">AQ419</f>
        <v>3.3793103448275866E-2</v>
      </c>
      <c r="AR420" s="36">
        <f t="shared" si="518"/>
        <v>5.9329425287356324E-2</v>
      </c>
      <c r="AS420" s="36">
        <f t="shared" si="518"/>
        <v>8.4865747126436797E-2</v>
      </c>
      <c r="AT420" s="288">
        <f t="shared" si="468"/>
        <v>0.11040206896551726</v>
      </c>
    </row>
    <row r="421" spans="2:46">
      <c r="B421" s="287"/>
      <c r="C421" s="707"/>
      <c r="D421" s="707"/>
      <c r="E421" s="707"/>
      <c r="F421" s="707"/>
      <c r="G421" s="707"/>
      <c r="H421" s="707"/>
      <c r="I421" s="707"/>
      <c r="J421" s="707"/>
      <c r="K421" s="707"/>
      <c r="L421" s="707"/>
      <c r="M421" s="707"/>
      <c r="N421" s="707"/>
      <c r="O421" s="707"/>
      <c r="P421" s="707"/>
      <c r="Q421" s="707"/>
      <c r="R421" s="707"/>
      <c r="S421" s="707"/>
      <c r="T421" s="707"/>
      <c r="U421" s="707"/>
      <c r="V421" s="707"/>
      <c r="W421" s="707"/>
      <c r="X421" s="707"/>
      <c r="Y421" s="707"/>
      <c r="Z421" s="707"/>
      <c r="AA421" s="36" t="str">
        <f t="shared" si="482"/>
        <v/>
      </c>
      <c r="AB421" s="288" t="str">
        <f t="shared" si="454"/>
        <v/>
      </c>
      <c r="AC421" s="288" t="str">
        <f t="shared" si="455"/>
        <v/>
      </c>
      <c r="AD421" s="288" t="str">
        <f t="shared" si="456"/>
        <v/>
      </c>
      <c r="AE421" s="288" t="str">
        <f t="shared" si="457"/>
        <v/>
      </c>
      <c r="AF421" s="288" t="str">
        <f t="shared" si="458"/>
        <v/>
      </c>
      <c r="AG421" s="288" t="str">
        <f t="shared" si="459"/>
        <v/>
      </c>
      <c r="AH421" s="288" t="str">
        <f t="shared" si="460"/>
        <v/>
      </c>
      <c r="AI421" s="36">
        <f t="shared" si="461"/>
        <v>-1</v>
      </c>
      <c r="AJ421" s="36">
        <f t="shared" si="462"/>
        <v>-1</v>
      </c>
      <c r="AK421" s="36">
        <f t="shared" si="463"/>
        <v>-1</v>
      </c>
      <c r="AL421" s="36"/>
      <c r="AM421" s="36" t="str">
        <f t="shared" si="484"/>
        <v/>
      </c>
      <c r="AN421" s="288" t="str">
        <f t="shared" si="464"/>
        <v/>
      </c>
      <c r="AO421" s="288" t="str">
        <f t="shared" si="465"/>
        <v/>
      </c>
      <c r="AP421" s="288" t="str">
        <f t="shared" si="466"/>
        <v/>
      </c>
      <c r="AQ421" s="36">
        <f t="shared" ref="AQ421:AS421" si="519">AQ420</f>
        <v>3.3793103448275866E-2</v>
      </c>
      <c r="AR421" s="36">
        <f t="shared" si="519"/>
        <v>5.9329425287356324E-2</v>
      </c>
      <c r="AS421" s="36">
        <f t="shared" si="519"/>
        <v>8.4865747126436797E-2</v>
      </c>
      <c r="AT421" s="288">
        <f t="shared" si="468"/>
        <v>0.11040206896551726</v>
      </c>
    </row>
    <row r="422" spans="2:46">
      <c r="B422" s="287"/>
      <c r="C422" s="707"/>
      <c r="D422" s="707"/>
      <c r="E422" s="707"/>
      <c r="F422" s="707"/>
      <c r="G422" s="707"/>
      <c r="H422" s="707"/>
      <c r="I422" s="707"/>
      <c r="J422" s="707"/>
      <c r="K422" s="707"/>
      <c r="L422" s="707"/>
      <c r="M422" s="707"/>
      <c r="N422" s="707"/>
      <c r="O422" s="707"/>
      <c r="P422" s="707"/>
      <c r="Q422" s="707"/>
      <c r="R422" s="707"/>
      <c r="S422" s="707"/>
      <c r="T422" s="707"/>
      <c r="U422" s="707"/>
      <c r="V422" s="707"/>
      <c r="W422" s="707"/>
      <c r="X422" s="707"/>
      <c r="Y422" s="707"/>
      <c r="Z422" s="707"/>
      <c r="AA422" s="36" t="str">
        <f t="shared" si="482"/>
        <v/>
      </c>
      <c r="AB422" s="288" t="str">
        <f t="shared" si="454"/>
        <v/>
      </c>
      <c r="AC422" s="288" t="str">
        <f t="shared" si="455"/>
        <v/>
      </c>
      <c r="AD422" s="288" t="str">
        <f t="shared" si="456"/>
        <v/>
      </c>
      <c r="AE422" s="288" t="str">
        <f t="shared" si="457"/>
        <v/>
      </c>
      <c r="AF422" s="288" t="str">
        <f t="shared" si="458"/>
        <v/>
      </c>
      <c r="AG422" s="288" t="str">
        <f t="shared" si="459"/>
        <v/>
      </c>
      <c r="AH422" s="288" t="str">
        <f t="shared" si="460"/>
        <v/>
      </c>
      <c r="AI422" s="36">
        <f t="shared" si="461"/>
        <v>-1</v>
      </c>
      <c r="AJ422" s="36">
        <f t="shared" si="462"/>
        <v>-1</v>
      </c>
      <c r="AK422" s="36">
        <f t="shared" si="463"/>
        <v>-1</v>
      </c>
      <c r="AL422" s="36"/>
      <c r="AM422" s="36" t="str">
        <f t="shared" si="484"/>
        <v/>
      </c>
      <c r="AN422" s="288" t="str">
        <f t="shared" si="464"/>
        <v/>
      </c>
      <c r="AO422" s="288" t="str">
        <f t="shared" si="465"/>
        <v/>
      </c>
      <c r="AP422" s="288" t="str">
        <f t="shared" si="466"/>
        <v/>
      </c>
      <c r="AQ422" s="36">
        <f t="shared" ref="AQ422:AS422" si="520">AQ421</f>
        <v>3.3793103448275866E-2</v>
      </c>
      <c r="AR422" s="36">
        <f t="shared" si="520"/>
        <v>5.9329425287356324E-2</v>
      </c>
      <c r="AS422" s="36">
        <f t="shared" si="520"/>
        <v>8.4865747126436797E-2</v>
      </c>
      <c r="AT422" s="288">
        <f t="shared" si="468"/>
        <v>0.11040206896551726</v>
      </c>
    </row>
    <row r="423" spans="2:46">
      <c r="B423" s="287"/>
      <c r="C423" s="707"/>
      <c r="D423" s="707"/>
      <c r="E423" s="707"/>
      <c r="F423" s="707"/>
      <c r="G423" s="707"/>
      <c r="H423" s="707"/>
      <c r="I423" s="707"/>
      <c r="J423" s="707"/>
      <c r="K423" s="707"/>
      <c r="L423" s="707"/>
      <c r="M423" s="707"/>
      <c r="N423" s="707"/>
      <c r="O423" s="707"/>
      <c r="P423" s="707"/>
      <c r="Q423" s="707"/>
      <c r="R423" s="707"/>
      <c r="S423" s="707"/>
      <c r="T423" s="707"/>
      <c r="U423" s="707"/>
      <c r="V423" s="707"/>
      <c r="W423" s="707"/>
      <c r="X423" s="707"/>
      <c r="Y423" s="707"/>
      <c r="Z423" s="707"/>
      <c r="AA423" s="36" t="str">
        <f t="shared" si="482"/>
        <v/>
      </c>
      <c r="AB423" s="288" t="str">
        <f t="shared" si="454"/>
        <v/>
      </c>
      <c r="AC423" s="288" t="str">
        <f t="shared" si="455"/>
        <v/>
      </c>
      <c r="AD423" s="288" t="str">
        <f t="shared" si="456"/>
        <v/>
      </c>
      <c r="AE423" s="288" t="str">
        <f t="shared" si="457"/>
        <v/>
      </c>
      <c r="AF423" s="288" t="str">
        <f t="shared" si="458"/>
        <v/>
      </c>
      <c r="AG423" s="288" t="str">
        <f t="shared" si="459"/>
        <v/>
      </c>
      <c r="AH423" s="288" t="str">
        <f t="shared" si="460"/>
        <v/>
      </c>
      <c r="AI423" s="36">
        <f t="shared" si="461"/>
        <v>-1</v>
      </c>
      <c r="AJ423" s="36">
        <f t="shared" si="462"/>
        <v>-1</v>
      </c>
      <c r="AK423" s="36">
        <f t="shared" si="463"/>
        <v>-1</v>
      </c>
      <c r="AL423" s="36"/>
      <c r="AM423" s="36" t="str">
        <f t="shared" si="484"/>
        <v/>
      </c>
      <c r="AN423" s="288" t="str">
        <f t="shared" si="464"/>
        <v/>
      </c>
      <c r="AO423" s="288" t="str">
        <f t="shared" si="465"/>
        <v/>
      </c>
      <c r="AP423" s="288" t="str">
        <f t="shared" si="466"/>
        <v/>
      </c>
      <c r="AQ423" s="36">
        <f t="shared" ref="AQ423:AS423" si="521">AQ422</f>
        <v>3.3793103448275866E-2</v>
      </c>
      <c r="AR423" s="36">
        <f t="shared" si="521"/>
        <v>5.9329425287356324E-2</v>
      </c>
      <c r="AS423" s="36">
        <f t="shared" si="521"/>
        <v>8.4865747126436797E-2</v>
      </c>
      <c r="AT423" s="288">
        <f t="shared" si="468"/>
        <v>0.11040206896551726</v>
      </c>
    </row>
    <row r="424" spans="2:46">
      <c r="B424" s="287"/>
      <c r="C424" s="707"/>
      <c r="D424" s="707"/>
      <c r="E424" s="707"/>
      <c r="F424" s="707"/>
      <c r="G424" s="707"/>
      <c r="H424" s="707"/>
      <c r="I424" s="707"/>
      <c r="J424" s="707"/>
      <c r="K424" s="707"/>
      <c r="L424" s="707"/>
      <c r="M424" s="707"/>
      <c r="N424" s="707"/>
      <c r="O424" s="707"/>
      <c r="P424" s="707"/>
      <c r="Q424" s="707"/>
      <c r="R424" s="707"/>
      <c r="S424" s="707"/>
      <c r="T424" s="707"/>
      <c r="U424" s="707"/>
      <c r="V424" s="707"/>
      <c r="W424" s="707"/>
      <c r="X424" s="707"/>
      <c r="Y424" s="707"/>
      <c r="Z424" s="707"/>
      <c r="AA424" s="36" t="str">
        <f t="shared" si="482"/>
        <v/>
      </c>
      <c r="AB424" s="288" t="str">
        <f t="shared" si="454"/>
        <v/>
      </c>
      <c r="AC424" s="288" t="str">
        <f t="shared" si="455"/>
        <v/>
      </c>
      <c r="AD424" s="288" t="str">
        <f t="shared" si="456"/>
        <v/>
      </c>
      <c r="AE424" s="288" t="str">
        <f t="shared" si="457"/>
        <v/>
      </c>
      <c r="AF424" s="288" t="str">
        <f t="shared" si="458"/>
        <v/>
      </c>
      <c r="AG424" s="288" t="str">
        <f t="shared" si="459"/>
        <v/>
      </c>
      <c r="AH424" s="288" t="str">
        <f t="shared" si="460"/>
        <v/>
      </c>
      <c r="AI424" s="36">
        <f t="shared" si="461"/>
        <v>-1</v>
      </c>
      <c r="AJ424" s="36">
        <f t="shared" si="462"/>
        <v>-1</v>
      </c>
      <c r="AK424" s="36">
        <f t="shared" si="463"/>
        <v>-1</v>
      </c>
      <c r="AL424" s="36"/>
      <c r="AM424" s="36" t="str">
        <f t="shared" si="484"/>
        <v/>
      </c>
      <c r="AN424" s="288" t="str">
        <f t="shared" si="464"/>
        <v/>
      </c>
      <c r="AO424" s="288" t="str">
        <f t="shared" si="465"/>
        <v/>
      </c>
      <c r="AP424" s="288" t="str">
        <f t="shared" si="466"/>
        <v/>
      </c>
      <c r="AQ424" s="36">
        <f t="shared" ref="AQ424:AS424" si="522">AQ423</f>
        <v>3.3793103448275866E-2</v>
      </c>
      <c r="AR424" s="36">
        <f t="shared" si="522"/>
        <v>5.9329425287356324E-2</v>
      </c>
      <c r="AS424" s="36">
        <f t="shared" si="522"/>
        <v>8.4865747126436797E-2</v>
      </c>
      <c r="AT424" s="288">
        <f t="shared" si="468"/>
        <v>0.11040206896551726</v>
      </c>
    </row>
    <row r="425" spans="2:46">
      <c r="B425" s="287"/>
      <c r="C425" s="707"/>
      <c r="D425" s="707"/>
      <c r="E425" s="707"/>
      <c r="F425" s="707"/>
      <c r="G425" s="707"/>
      <c r="H425" s="707"/>
      <c r="I425" s="707"/>
      <c r="J425" s="707"/>
      <c r="K425" s="707"/>
      <c r="L425" s="707"/>
      <c r="M425" s="707"/>
      <c r="N425" s="707"/>
      <c r="O425" s="707"/>
      <c r="P425" s="707"/>
      <c r="Q425" s="707"/>
      <c r="R425" s="707"/>
      <c r="S425" s="707"/>
      <c r="T425" s="707"/>
      <c r="U425" s="707"/>
      <c r="V425" s="707"/>
      <c r="W425" s="707"/>
      <c r="X425" s="707"/>
      <c r="Y425" s="707"/>
      <c r="Z425" s="707"/>
      <c r="AA425" s="36" t="str">
        <f t="shared" si="482"/>
        <v/>
      </c>
      <c r="AB425" s="288" t="str">
        <f t="shared" si="454"/>
        <v/>
      </c>
      <c r="AC425" s="288" t="str">
        <f t="shared" si="455"/>
        <v/>
      </c>
      <c r="AD425" s="288" t="str">
        <f t="shared" si="456"/>
        <v/>
      </c>
      <c r="AE425" s="288" t="str">
        <f t="shared" si="457"/>
        <v/>
      </c>
      <c r="AF425" s="288" t="str">
        <f t="shared" si="458"/>
        <v/>
      </c>
      <c r="AG425" s="288" t="str">
        <f t="shared" si="459"/>
        <v/>
      </c>
      <c r="AH425" s="288" t="str">
        <f t="shared" si="460"/>
        <v/>
      </c>
      <c r="AI425" s="36">
        <f t="shared" si="461"/>
        <v>-1</v>
      </c>
      <c r="AJ425" s="36">
        <f t="shared" si="462"/>
        <v>-1</v>
      </c>
      <c r="AK425" s="36">
        <f t="shared" si="463"/>
        <v>-1</v>
      </c>
      <c r="AL425" s="36"/>
      <c r="AM425" s="36" t="str">
        <f t="shared" si="484"/>
        <v/>
      </c>
      <c r="AN425" s="288" t="str">
        <f t="shared" si="464"/>
        <v/>
      </c>
      <c r="AO425" s="288" t="str">
        <f t="shared" si="465"/>
        <v/>
      </c>
      <c r="AP425" s="288" t="str">
        <f t="shared" si="466"/>
        <v/>
      </c>
      <c r="AQ425" s="36">
        <f t="shared" ref="AQ425:AS425" si="523">AQ424</f>
        <v>3.3793103448275866E-2</v>
      </c>
      <c r="AR425" s="36">
        <f t="shared" si="523"/>
        <v>5.9329425287356324E-2</v>
      </c>
      <c r="AS425" s="36">
        <f t="shared" si="523"/>
        <v>8.4865747126436797E-2</v>
      </c>
      <c r="AT425" s="288">
        <f t="shared" si="468"/>
        <v>0.11040206896551726</v>
      </c>
    </row>
    <row r="426" spans="2:46">
      <c r="B426" s="287"/>
      <c r="C426" s="707"/>
      <c r="D426" s="707"/>
      <c r="E426" s="707"/>
      <c r="F426" s="707"/>
      <c r="G426" s="707"/>
      <c r="H426" s="707"/>
      <c r="I426" s="707"/>
      <c r="J426" s="707"/>
      <c r="K426" s="707"/>
      <c r="L426" s="707"/>
      <c r="M426" s="707"/>
      <c r="N426" s="707"/>
      <c r="O426" s="707"/>
      <c r="P426" s="707"/>
      <c r="Q426" s="707"/>
      <c r="R426" s="707"/>
      <c r="S426" s="707"/>
      <c r="T426" s="707"/>
      <c r="U426" s="707"/>
      <c r="V426" s="707"/>
      <c r="W426" s="707"/>
      <c r="X426" s="707"/>
      <c r="Y426" s="707"/>
      <c r="Z426" s="707"/>
      <c r="AA426" s="36" t="str">
        <f t="shared" si="482"/>
        <v/>
      </c>
      <c r="AB426" s="288" t="str">
        <f t="shared" si="454"/>
        <v/>
      </c>
      <c r="AC426" s="288" t="str">
        <f t="shared" si="455"/>
        <v/>
      </c>
      <c r="AD426" s="288" t="str">
        <f t="shared" si="456"/>
        <v/>
      </c>
      <c r="AE426" s="288" t="str">
        <f t="shared" si="457"/>
        <v/>
      </c>
      <c r="AF426" s="288" t="str">
        <f t="shared" si="458"/>
        <v/>
      </c>
      <c r="AG426" s="288" t="str">
        <f t="shared" si="459"/>
        <v/>
      </c>
      <c r="AH426" s="288" t="str">
        <f t="shared" si="460"/>
        <v/>
      </c>
      <c r="AI426" s="36">
        <f t="shared" si="461"/>
        <v>-1</v>
      </c>
      <c r="AJ426" s="36">
        <f t="shared" si="462"/>
        <v>-1</v>
      </c>
      <c r="AK426" s="36">
        <f t="shared" si="463"/>
        <v>-1</v>
      </c>
      <c r="AL426" s="36"/>
      <c r="AM426" s="36" t="str">
        <f t="shared" si="484"/>
        <v/>
      </c>
      <c r="AN426" s="288" t="str">
        <f t="shared" si="464"/>
        <v/>
      </c>
      <c r="AO426" s="288" t="str">
        <f t="shared" si="465"/>
        <v/>
      </c>
      <c r="AP426" s="288" t="str">
        <f t="shared" si="466"/>
        <v/>
      </c>
      <c r="AQ426" s="36">
        <f t="shared" ref="AQ426:AS426" si="524">AQ425</f>
        <v>3.3793103448275866E-2</v>
      </c>
      <c r="AR426" s="36">
        <f t="shared" si="524"/>
        <v>5.9329425287356324E-2</v>
      </c>
      <c r="AS426" s="36">
        <f t="shared" si="524"/>
        <v>8.4865747126436797E-2</v>
      </c>
      <c r="AT426" s="288">
        <f t="shared" si="468"/>
        <v>0.11040206896551726</v>
      </c>
    </row>
    <row r="427" spans="2:46">
      <c r="B427" s="287"/>
      <c r="C427" s="707"/>
      <c r="D427" s="707"/>
      <c r="E427" s="707"/>
      <c r="F427" s="707"/>
      <c r="G427" s="707"/>
      <c r="H427" s="707"/>
      <c r="I427" s="707"/>
      <c r="J427" s="707"/>
      <c r="K427" s="707"/>
      <c r="L427" s="707"/>
      <c r="M427" s="707"/>
      <c r="N427" s="707"/>
      <c r="O427" s="707"/>
      <c r="P427" s="707"/>
      <c r="Q427" s="707"/>
      <c r="R427" s="707"/>
      <c r="S427" s="707"/>
      <c r="T427" s="707"/>
      <c r="U427" s="707"/>
      <c r="V427" s="707"/>
      <c r="W427" s="707"/>
      <c r="X427" s="707"/>
      <c r="Y427" s="707"/>
      <c r="Z427" s="707"/>
      <c r="AA427" s="36" t="str">
        <f t="shared" si="482"/>
        <v/>
      </c>
      <c r="AB427" s="288" t="str">
        <f t="shared" si="454"/>
        <v/>
      </c>
      <c r="AC427" s="288" t="str">
        <f t="shared" si="455"/>
        <v/>
      </c>
      <c r="AD427" s="288" t="str">
        <f t="shared" si="456"/>
        <v/>
      </c>
      <c r="AE427" s="288" t="str">
        <f t="shared" si="457"/>
        <v/>
      </c>
      <c r="AF427" s="288" t="str">
        <f t="shared" si="458"/>
        <v/>
      </c>
      <c r="AG427" s="288" t="str">
        <f t="shared" si="459"/>
        <v/>
      </c>
      <c r="AH427" s="288" t="str">
        <f t="shared" si="460"/>
        <v/>
      </c>
      <c r="AI427" s="36">
        <f t="shared" si="461"/>
        <v>-1</v>
      </c>
      <c r="AJ427" s="36">
        <f t="shared" si="462"/>
        <v>-1</v>
      </c>
      <c r="AK427" s="36">
        <f t="shared" si="463"/>
        <v>-1</v>
      </c>
      <c r="AL427" s="36"/>
      <c r="AM427" s="36" t="str">
        <f t="shared" si="484"/>
        <v/>
      </c>
      <c r="AN427" s="288" t="str">
        <f t="shared" si="464"/>
        <v/>
      </c>
      <c r="AO427" s="288" t="str">
        <f t="shared" si="465"/>
        <v/>
      </c>
      <c r="AP427" s="288" t="str">
        <f t="shared" si="466"/>
        <v/>
      </c>
      <c r="AQ427" s="36">
        <f t="shared" ref="AQ427:AS427" si="525">AQ426</f>
        <v>3.3793103448275866E-2</v>
      </c>
      <c r="AR427" s="36">
        <f t="shared" si="525"/>
        <v>5.9329425287356324E-2</v>
      </c>
      <c r="AS427" s="36">
        <f t="shared" si="525"/>
        <v>8.4865747126436797E-2</v>
      </c>
      <c r="AT427" s="288">
        <f t="shared" si="468"/>
        <v>0.11040206896551726</v>
      </c>
    </row>
    <row r="428" spans="2:46">
      <c r="B428" s="287"/>
      <c r="C428" s="707"/>
      <c r="D428" s="707"/>
      <c r="E428" s="707"/>
      <c r="F428" s="707"/>
      <c r="G428" s="707"/>
      <c r="H428" s="707"/>
      <c r="I428" s="707"/>
      <c r="J428" s="707"/>
      <c r="K428" s="707"/>
      <c r="L428" s="707"/>
      <c r="M428" s="707"/>
      <c r="N428" s="707"/>
      <c r="O428" s="707"/>
      <c r="P428" s="707"/>
      <c r="Q428" s="707"/>
      <c r="R428" s="707"/>
      <c r="S428" s="707"/>
      <c r="T428" s="707"/>
      <c r="U428" s="707"/>
      <c r="V428" s="707"/>
      <c r="W428" s="707"/>
      <c r="X428" s="707"/>
      <c r="Y428" s="707"/>
      <c r="Z428" s="707"/>
      <c r="AA428" s="36" t="str">
        <f t="shared" si="482"/>
        <v/>
      </c>
      <c r="AB428" s="288" t="str">
        <f t="shared" si="454"/>
        <v/>
      </c>
      <c r="AC428" s="288" t="str">
        <f t="shared" si="455"/>
        <v/>
      </c>
      <c r="AD428" s="288" t="str">
        <f t="shared" si="456"/>
        <v/>
      </c>
      <c r="AE428" s="288" t="str">
        <f t="shared" si="457"/>
        <v/>
      </c>
      <c r="AF428" s="288" t="str">
        <f t="shared" si="458"/>
        <v/>
      </c>
      <c r="AG428" s="288" t="str">
        <f t="shared" si="459"/>
        <v/>
      </c>
      <c r="AH428" s="288" t="str">
        <f t="shared" si="460"/>
        <v/>
      </c>
      <c r="AI428" s="36">
        <f t="shared" si="461"/>
        <v>-1</v>
      </c>
      <c r="AJ428" s="36">
        <f t="shared" si="462"/>
        <v>-1</v>
      </c>
      <c r="AK428" s="36">
        <f t="shared" si="463"/>
        <v>-1</v>
      </c>
      <c r="AL428" s="36"/>
      <c r="AM428" s="36" t="str">
        <f t="shared" si="484"/>
        <v/>
      </c>
      <c r="AN428" s="288" t="str">
        <f t="shared" si="464"/>
        <v/>
      </c>
      <c r="AO428" s="288" t="str">
        <f t="shared" si="465"/>
        <v/>
      </c>
      <c r="AP428" s="288" t="str">
        <f t="shared" si="466"/>
        <v/>
      </c>
      <c r="AQ428" s="36">
        <f t="shared" ref="AQ428:AS428" si="526">AQ427</f>
        <v>3.3793103448275866E-2</v>
      </c>
      <c r="AR428" s="36">
        <f t="shared" si="526"/>
        <v>5.9329425287356324E-2</v>
      </c>
      <c r="AS428" s="36">
        <f t="shared" si="526"/>
        <v>8.4865747126436797E-2</v>
      </c>
      <c r="AT428" s="288">
        <f t="shared" si="468"/>
        <v>0.11040206896551726</v>
      </c>
    </row>
    <row r="429" spans="2:46">
      <c r="B429" s="287"/>
      <c r="C429" s="707"/>
      <c r="D429" s="707"/>
      <c r="E429" s="707"/>
      <c r="F429" s="707"/>
      <c r="G429" s="707"/>
      <c r="H429" s="707"/>
      <c r="I429" s="707"/>
      <c r="J429" s="707"/>
      <c r="K429" s="707"/>
      <c r="L429" s="707"/>
      <c r="M429" s="707"/>
      <c r="N429" s="707"/>
      <c r="O429" s="707"/>
      <c r="P429" s="707"/>
      <c r="Q429" s="707"/>
      <c r="R429" s="707"/>
      <c r="S429" s="707"/>
      <c r="T429" s="707"/>
      <c r="U429" s="707"/>
      <c r="V429" s="707"/>
      <c r="W429" s="707"/>
      <c r="X429" s="707"/>
      <c r="Y429" s="707"/>
      <c r="Z429" s="707"/>
      <c r="AA429" s="36" t="str">
        <f t="shared" si="482"/>
        <v/>
      </c>
      <c r="AB429" s="288" t="str">
        <f t="shared" si="454"/>
        <v/>
      </c>
      <c r="AC429" s="288" t="str">
        <f t="shared" si="455"/>
        <v/>
      </c>
      <c r="AD429" s="288" t="str">
        <f t="shared" si="456"/>
        <v/>
      </c>
      <c r="AE429" s="288" t="str">
        <f t="shared" si="457"/>
        <v/>
      </c>
      <c r="AF429" s="288" t="str">
        <f t="shared" si="458"/>
        <v/>
      </c>
      <c r="AG429" s="288" t="str">
        <f t="shared" si="459"/>
        <v/>
      </c>
      <c r="AH429" s="288" t="str">
        <f t="shared" si="460"/>
        <v/>
      </c>
      <c r="AI429" s="36">
        <f t="shared" si="461"/>
        <v>-1</v>
      </c>
      <c r="AJ429" s="36">
        <f t="shared" si="462"/>
        <v>-1</v>
      </c>
      <c r="AK429" s="36">
        <f t="shared" si="463"/>
        <v>-1</v>
      </c>
      <c r="AL429" s="36"/>
      <c r="AM429" s="36" t="str">
        <f t="shared" si="484"/>
        <v/>
      </c>
      <c r="AN429" s="288" t="str">
        <f t="shared" si="464"/>
        <v/>
      </c>
      <c r="AO429" s="288" t="str">
        <f t="shared" si="465"/>
        <v/>
      </c>
      <c r="AP429" s="288" t="str">
        <f t="shared" si="466"/>
        <v/>
      </c>
      <c r="AQ429" s="36">
        <f t="shared" ref="AQ429:AS429" si="527">AQ428</f>
        <v>3.3793103448275866E-2</v>
      </c>
      <c r="AR429" s="36">
        <f t="shared" si="527"/>
        <v>5.9329425287356324E-2</v>
      </c>
      <c r="AS429" s="36">
        <f t="shared" si="527"/>
        <v>8.4865747126436797E-2</v>
      </c>
      <c r="AT429" s="288">
        <f t="shared" si="468"/>
        <v>0.11040206896551726</v>
      </c>
    </row>
    <row r="430" spans="2:46">
      <c r="B430" s="287"/>
      <c r="C430" s="707"/>
      <c r="D430" s="707"/>
      <c r="E430" s="707"/>
      <c r="F430" s="707"/>
      <c r="G430" s="707"/>
      <c r="H430" s="707"/>
      <c r="I430" s="707"/>
      <c r="J430" s="707"/>
      <c r="K430" s="707"/>
      <c r="L430" s="707"/>
      <c r="M430" s="707"/>
      <c r="N430" s="707"/>
      <c r="O430" s="707"/>
      <c r="P430" s="707"/>
      <c r="Q430" s="707"/>
      <c r="R430" s="707"/>
      <c r="S430" s="707"/>
      <c r="T430" s="707"/>
      <c r="U430" s="707"/>
      <c r="V430" s="707"/>
      <c r="W430" s="707"/>
      <c r="X430" s="707"/>
      <c r="Y430" s="707"/>
      <c r="Z430" s="707"/>
      <c r="AA430" s="36" t="str">
        <f t="shared" si="482"/>
        <v/>
      </c>
      <c r="AB430" s="288" t="str">
        <f t="shared" si="454"/>
        <v/>
      </c>
      <c r="AC430" s="288" t="str">
        <f t="shared" si="455"/>
        <v/>
      </c>
      <c r="AD430" s="288" t="str">
        <f t="shared" si="456"/>
        <v/>
      </c>
      <c r="AE430" s="288" t="str">
        <f t="shared" si="457"/>
        <v/>
      </c>
      <c r="AF430" s="288" t="str">
        <f t="shared" si="458"/>
        <v/>
      </c>
      <c r="AG430" s="288" t="str">
        <f t="shared" si="459"/>
        <v/>
      </c>
      <c r="AH430" s="288" t="str">
        <f t="shared" si="460"/>
        <v/>
      </c>
      <c r="AI430" s="36">
        <f t="shared" si="461"/>
        <v>-1</v>
      </c>
      <c r="AJ430" s="36">
        <f t="shared" si="462"/>
        <v>-1</v>
      </c>
      <c r="AK430" s="36">
        <f t="shared" si="463"/>
        <v>-1</v>
      </c>
      <c r="AL430" s="36"/>
      <c r="AM430" s="36" t="str">
        <f t="shared" si="484"/>
        <v/>
      </c>
      <c r="AN430" s="288" t="str">
        <f t="shared" si="464"/>
        <v/>
      </c>
      <c r="AO430" s="288" t="str">
        <f t="shared" si="465"/>
        <v/>
      </c>
      <c r="AP430" s="288" t="str">
        <f t="shared" si="466"/>
        <v/>
      </c>
      <c r="AQ430" s="36">
        <f t="shared" ref="AQ430:AS430" si="528">AQ429</f>
        <v>3.3793103448275866E-2</v>
      </c>
      <c r="AR430" s="36">
        <f t="shared" si="528"/>
        <v>5.9329425287356324E-2</v>
      </c>
      <c r="AS430" s="36">
        <f t="shared" si="528"/>
        <v>8.4865747126436797E-2</v>
      </c>
      <c r="AT430" s="288">
        <f t="shared" si="468"/>
        <v>0.11040206896551726</v>
      </c>
    </row>
    <row r="431" spans="2:46">
      <c r="B431" s="287"/>
      <c r="C431" s="707"/>
      <c r="D431" s="707"/>
      <c r="E431" s="707"/>
      <c r="F431" s="707"/>
      <c r="G431" s="707"/>
      <c r="H431" s="707"/>
      <c r="I431" s="707"/>
      <c r="J431" s="707"/>
      <c r="K431" s="707"/>
      <c r="L431" s="707"/>
      <c r="M431" s="707"/>
      <c r="N431" s="707"/>
      <c r="O431" s="707"/>
      <c r="P431" s="707"/>
      <c r="Q431" s="707"/>
      <c r="R431" s="707"/>
      <c r="S431" s="707"/>
      <c r="T431" s="707"/>
      <c r="U431" s="707"/>
      <c r="V431" s="707"/>
      <c r="W431" s="707"/>
      <c r="X431" s="707"/>
      <c r="Y431" s="707"/>
      <c r="Z431" s="707"/>
      <c r="AA431" s="36" t="str">
        <f t="shared" si="482"/>
        <v/>
      </c>
      <c r="AB431" s="288" t="str">
        <f t="shared" si="454"/>
        <v/>
      </c>
      <c r="AC431" s="288" t="str">
        <f t="shared" si="455"/>
        <v/>
      </c>
      <c r="AD431" s="288" t="str">
        <f t="shared" si="456"/>
        <v/>
      </c>
      <c r="AE431" s="288" t="str">
        <f t="shared" si="457"/>
        <v/>
      </c>
      <c r="AF431" s="288" t="str">
        <f t="shared" si="458"/>
        <v/>
      </c>
      <c r="AG431" s="288" t="str">
        <f t="shared" si="459"/>
        <v/>
      </c>
      <c r="AH431" s="288" t="str">
        <f t="shared" si="460"/>
        <v/>
      </c>
      <c r="AI431" s="36">
        <f t="shared" si="461"/>
        <v>-1</v>
      </c>
      <c r="AJ431" s="36">
        <f t="shared" si="462"/>
        <v>-1</v>
      </c>
      <c r="AK431" s="36">
        <f t="shared" si="463"/>
        <v>-1</v>
      </c>
      <c r="AL431" s="36"/>
      <c r="AM431" s="36" t="str">
        <f t="shared" si="484"/>
        <v/>
      </c>
      <c r="AN431" s="288" t="str">
        <f t="shared" si="464"/>
        <v/>
      </c>
      <c r="AO431" s="288" t="str">
        <f t="shared" si="465"/>
        <v/>
      </c>
      <c r="AP431" s="288" t="str">
        <f t="shared" si="466"/>
        <v/>
      </c>
      <c r="AQ431" s="36">
        <f t="shared" ref="AQ431:AS431" si="529">AQ430</f>
        <v>3.3793103448275866E-2</v>
      </c>
      <c r="AR431" s="36">
        <f t="shared" si="529"/>
        <v>5.9329425287356324E-2</v>
      </c>
      <c r="AS431" s="36">
        <f t="shared" si="529"/>
        <v>8.4865747126436797E-2</v>
      </c>
      <c r="AT431" s="288">
        <f t="shared" si="468"/>
        <v>0.11040206896551726</v>
      </c>
    </row>
    <row r="432" spans="2:46">
      <c r="B432" s="287"/>
      <c r="C432" s="707"/>
      <c r="D432" s="707"/>
      <c r="E432" s="707"/>
      <c r="F432" s="707"/>
      <c r="G432" s="707"/>
      <c r="H432" s="707"/>
      <c r="I432" s="707"/>
      <c r="J432" s="707"/>
      <c r="K432" s="707"/>
      <c r="L432" s="707"/>
      <c r="M432" s="707"/>
      <c r="N432" s="707"/>
      <c r="O432" s="707"/>
      <c r="P432" s="707"/>
      <c r="Q432" s="707"/>
      <c r="R432" s="707"/>
      <c r="S432" s="707"/>
      <c r="T432" s="707"/>
      <c r="U432" s="707"/>
      <c r="V432" s="707"/>
      <c r="W432" s="707"/>
      <c r="X432" s="707"/>
      <c r="Y432" s="707"/>
      <c r="Z432" s="707"/>
      <c r="AA432" s="36" t="str">
        <f t="shared" si="482"/>
        <v/>
      </c>
      <c r="AB432" s="288" t="str">
        <f t="shared" si="454"/>
        <v/>
      </c>
      <c r="AC432" s="288" t="str">
        <f t="shared" si="455"/>
        <v/>
      </c>
      <c r="AD432" s="288" t="str">
        <f t="shared" si="456"/>
        <v/>
      </c>
      <c r="AE432" s="288" t="str">
        <f t="shared" si="457"/>
        <v/>
      </c>
      <c r="AF432" s="288" t="str">
        <f t="shared" si="458"/>
        <v/>
      </c>
      <c r="AG432" s="288" t="str">
        <f t="shared" si="459"/>
        <v/>
      </c>
      <c r="AH432" s="288" t="str">
        <f t="shared" si="460"/>
        <v/>
      </c>
      <c r="AI432" s="36">
        <f t="shared" si="461"/>
        <v>-1</v>
      </c>
      <c r="AJ432" s="36">
        <f t="shared" si="462"/>
        <v>-1</v>
      </c>
      <c r="AK432" s="36">
        <f t="shared" si="463"/>
        <v>-1</v>
      </c>
      <c r="AL432" s="36"/>
      <c r="AM432" s="36" t="str">
        <f t="shared" si="484"/>
        <v/>
      </c>
      <c r="AN432" s="288" t="str">
        <f t="shared" si="464"/>
        <v/>
      </c>
      <c r="AO432" s="288" t="str">
        <f t="shared" si="465"/>
        <v/>
      </c>
      <c r="AP432" s="288" t="str">
        <f t="shared" si="466"/>
        <v/>
      </c>
      <c r="AQ432" s="36">
        <f t="shared" ref="AQ432:AS432" si="530">AQ431</f>
        <v>3.3793103448275866E-2</v>
      </c>
      <c r="AR432" s="36">
        <f t="shared" si="530"/>
        <v>5.9329425287356324E-2</v>
      </c>
      <c r="AS432" s="36">
        <f t="shared" si="530"/>
        <v>8.4865747126436797E-2</v>
      </c>
      <c r="AT432" s="288">
        <f t="shared" si="468"/>
        <v>0.11040206896551726</v>
      </c>
    </row>
    <row r="433" spans="2:46">
      <c r="B433" s="287"/>
      <c r="C433" s="707"/>
      <c r="D433" s="707"/>
      <c r="E433" s="707"/>
      <c r="F433" s="707"/>
      <c r="G433" s="707"/>
      <c r="H433" s="707"/>
      <c r="I433" s="707"/>
      <c r="J433" s="707"/>
      <c r="K433" s="707"/>
      <c r="L433" s="707"/>
      <c r="M433" s="707"/>
      <c r="N433" s="707"/>
      <c r="O433" s="707"/>
      <c r="P433" s="707"/>
      <c r="Q433" s="707"/>
      <c r="R433" s="707"/>
      <c r="S433" s="707"/>
      <c r="T433" s="707"/>
      <c r="U433" s="707"/>
      <c r="V433" s="707"/>
      <c r="W433" s="707"/>
      <c r="X433" s="707"/>
      <c r="Y433" s="707"/>
      <c r="Z433" s="707"/>
      <c r="AA433" s="36" t="str">
        <f t="shared" si="482"/>
        <v/>
      </c>
      <c r="AB433" s="288" t="str">
        <f t="shared" si="454"/>
        <v/>
      </c>
      <c r="AC433" s="288" t="str">
        <f t="shared" si="455"/>
        <v/>
      </c>
      <c r="AD433" s="288" t="str">
        <f t="shared" si="456"/>
        <v/>
      </c>
      <c r="AE433" s="288" t="str">
        <f t="shared" si="457"/>
        <v/>
      </c>
      <c r="AF433" s="288" t="str">
        <f t="shared" si="458"/>
        <v/>
      </c>
      <c r="AG433" s="288" t="str">
        <f t="shared" si="459"/>
        <v/>
      </c>
      <c r="AH433" s="288" t="str">
        <f t="shared" si="460"/>
        <v/>
      </c>
      <c r="AI433" s="36">
        <f t="shared" si="461"/>
        <v>-1</v>
      </c>
      <c r="AJ433" s="36">
        <f t="shared" si="462"/>
        <v>-1</v>
      </c>
      <c r="AK433" s="36">
        <f t="shared" si="463"/>
        <v>-1</v>
      </c>
      <c r="AL433" s="36"/>
      <c r="AM433" s="36" t="str">
        <f t="shared" si="484"/>
        <v/>
      </c>
      <c r="AN433" s="288" t="str">
        <f t="shared" si="464"/>
        <v/>
      </c>
      <c r="AO433" s="288" t="str">
        <f t="shared" si="465"/>
        <v/>
      </c>
      <c r="AP433" s="288" t="str">
        <f t="shared" si="466"/>
        <v/>
      </c>
      <c r="AQ433" s="36">
        <f t="shared" ref="AQ433:AS433" si="531">AQ432</f>
        <v>3.3793103448275866E-2</v>
      </c>
      <c r="AR433" s="36">
        <f t="shared" si="531"/>
        <v>5.9329425287356324E-2</v>
      </c>
      <c r="AS433" s="36">
        <f t="shared" si="531"/>
        <v>8.4865747126436797E-2</v>
      </c>
      <c r="AT433" s="288">
        <f t="shared" si="468"/>
        <v>0.11040206896551726</v>
      </c>
    </row>
    <row r="434" spans="2:46">
      <c r="B434" s="287"/>
      <c r="C434" s="707"/>
      <c r="D434" s="707"/>
      <c r="E434" s="707"/>
      <c r="F434" s="707"/>
      <c r="G434" s="707"/>
      <c r="H434" s="707"/>
      <c r="I434" s="707"/>
      <c r="J434" s="707"/>
      <c r="K434" s="707"/>
      <c r="L434" s="707"/>
      <c r="M434" s="707"/>
      <c r="N434" s="707"/>
      <c r="O434" s="707"/>
      <c r="P434" s="707"/>
      <c r="Q434" s="707"/>
      <c r="R434" s="707"/>
      <c r="S434" s="707"/>
      <c r="T434" s="707"/>
      <c r="U434" s="707"/>
      <c r="V434" s="707"/>
      <c r="W434" s="707"/>
      <c r="X434" s="707"/>
      <c r="Y434" s="707"/>
      <c r="Z434" s="707"/>
      <c r="AA434" s="36" t="str">
        <f t="shared" si="482"/>
        <v/>
      </c>
      <c r="AB434" s="288" t="str">
        <f t="shared" si="454"/>
        <v/>
      </c>
      <c r="AC434" s="288" t="str">
        <f t="shared" si="455"/>
        <v/>
      </c>
      <c r="AD434" s="288" t="str">
        <f t="shared" si="456"/>
        <v/>
      </c>
      <c r="AE434" s="288" t="str">
        <f t="shared" si="457"/>
        <v/>
      </c>
      <c r="AF434" s="288" t="str">
        <f t="shared" si="458"/>
        <v/>
      </c>
      <c r="AG434" s="288" t="str">
        <f t="shared" si="459"/>
        <v/>
      </c>
      <c r="AH434" s="288" t="str">
        <f t="shared" si="460"/>
        <v/>
      </c>
      <c r="AI434" s="36">
        <f t="shared" si="461"/>
        <v>-1</v>
      </c>
      <c r="AJ434" s="36">
        <f t="shared" si="462"/>
        <v>-1</v>
      </c>
      <c r="AK434" s="36">
        <f t="shared" si="463"/>
        <v>-1</v>
      </c>
      <c r="AL434" s="36"/>
      <c r="AM434" s="36" t="str">
        <f t="shared" si="484"/>
        <v/>
      </c>
      <c r="AN434" s="288" t="str">
        <f t="shared" si="464"/>
        <v/>
      </c>
      <c r="AO434" s="288" t="str">
        <f t="shared" si="465"/>
        <v/>
      </c>
      <c r="AP434" s="288" t="str">
        <f t="shared" si="466"/>
        <v/>
      </c>
      <c r="AQ434" s="36">
        <f t="shared" ref="AQ434:AS434" si="532">AQ433</f>
        <v>3.3793103448275866E-2</v>
      </c>
      <c r="AR434" s="36">
        <f t="shared" si="532"/>
        <v>5.9329425287356324E-2</v>
      </c>
      <c r="AS434" s="36">
        <f t="shared" si="532"/>
        <v>8.4865747126436797E-2</v>
      </c>
      <c r="AT434" s="288">
        <f t="shared" si="468"/>
        <v>0.11040206896551726</v>
      </c>
    </row>
    <row r="435" spans="2:46">
      <c r="B435" s="287"/>
      <c r="C435" s="707"/>
      <c r="D435" s="707"/>
      <c r="E435" s="707"/>
      <c r="F435" s="707"/>
      <c r="G435" s="707"/>
      <c r="H435" s="707"/>
      <c r="I435" s="707"/>
      <c r="J435" s="707"/>
      <c r="K435" s="707"/>
      <c r="L435" s="707"/>
      <c r="M435" s="707"/>
      <c r="N435" s="707"/>
      <c r="O435" s="707"/>
      <c r="P435" s="707"/>
      <c r="Q435" s="707"/>
      <c r="R435" s="707"/>
      <c r="S435" s="707"/>
      <c r="T435" s="707"/>
      <c r="U435" s="707"/>
      <c r="V435" s="707"/>
      <c r="W435" s="707"/>
      <c r="X435" s="707"/>
      <c r="Y435" s="707"/>
      <c r="Z435" s="707"/>
      <c r="AA435" s="36" t="str">
        <f t="shared" si="482"/>
        <v/>
      </c>
      <c r="AB435" s="288" t="str">
        <f t="shared" si="454"/>
        <v/>
      </c>
      <c r="AC435" s="288" t="str">
        <f t="shared" si="455"/>
        <v/>
      </c>
      <c r="AD435" s="288" t="str">
        <f t="shared" si="456"/>
        <v/>
      </c>
      <c r="AE435" s="288" t="str">
        <f t="shared" si="457"/>
        <v/>
      </c>
      <c r="AF435" s="288" t="str">
        <f t="shared" si="458"/>
        <v/>
      </c>
      <c r="AG435" s="288" t="str">
        <f t="shared" si="459"/>
        <v/>
      </c>
      <c r="AH435" s="288" t="str">
        <f t="shared" si="460"/>
        <v/>
      </c>
      <c r="AI435" s="36">
        <f t="shared" si="461"/>
        <v>-1</v>
      </c>
      <c r="AJ435" s="36">
        <f t="shared" si="462"/>
        <v>-1</v>
      </c>
      <c r="AK435" s="36">
        <f t="shared" si="463"/>
        <v>-1</v>
      </c>
      <c r="AL435" s="36"/>
      <c r="AM435" s="36" t="str">
        <f t="shared" si="484"/>
        <v/>
      </c>
      <c r="AN435" s="288" t="str">
        <f t="shared" si="464"/>
        <v/>
      </c>
      <c r="AO435" s="288" t="str">
        <f t="shared" si="465"/>
        <v/>
      </c>
      <c r="AP435" s="288" t="str">
        <f t="shared" si="466"/>
        <v/>
      </c>
      <c r="AQ435" s="36">
        <f t="shared" ref="AQ435:AS435" si="533">AQ434</f>
        <v>3.3793103448275866E-2</v>
      </c>
      <c r="AR435" s="36">
        <f t="shared" si="533"/>
        <v>5.9329425287356324E-2</v>
      </c>
      <c r="AS435" s="36">
        <f t="shared" si="533"/>
        <v>8.4865747126436797E-2</v>
      </c>
      <c r="AT435" s="288">
        <f t="shared" si="468"/>
        <v>0.11040206896551726</v>
      </c>
    </row>
    <row r="436" spans="2:46">
      <c r="B436" s="287"/>
      <c r="C436" s="707"/>
      <c r="D436" s="707"/>
      <c r="E436" s="707"/>
      <c r="F436" s="707"/>
      <c r="G436" s="707"/>
      <c r="H436" s="707"/>
      <c r="I436" s="707"/>
      <c r="J436" s="707"/>
      <c r="K436" s="707"/>
      <c r="L436" s="707"/>
      <c r="M436" s="707"/>
      <c r="N436" s="707"/>
      <c r="O436" s="707"/>
      <c r="P436" s="707"/>
      <c r="Q436" s="707"/>
      <c r="R436" s="707"/>
      <c r="S436" s="707"/>
      <c r="T436" s="707"/>
      <c r="U436" s="707"/>
      <c r="V436" s="707"/>
      <c r="W436" s="707"/>
      <c r="X436" s="707"/>
      <c r="Y436" s="707"/>
      <c r="Z436" s="707"/>
      <c r="AA436" s="36" t="str">
        <f t="shared" si="482"/>
        <v/>
      </c>
      <c r="AB436" s="288" t="str">
        <f t="shared" ref="AB436:AB499" si="534">IF(AA436="", "", AE436-(3*STDEV(AA:AA)))</f>
        <v/>
      </c>
      <c r="AC436" s="288" t="str">
        <f t="shared" ref="AC436:AC499" si="535">IF(AA436="", "",AE436-(2*STDEV(AA:AA)))</f>
        <v/>
      </c>
      <c r="AD436" s="288" t="str">
        <f t="shared" ref="AD436:AD499" si="536">IF(AA436="", "", AE436-STDEV(AA:AA))</f>
        <v/>
      </c>
      <c r="AE436" s="288" t="str">
        <f t="shared" ref="AE436:AE499" si="537">IF(AA436="", "", AVERAGE(AA:AA))</f>
        <v/>
      </c>
      <c r="AF436" s="288" t="str">
        <f t="shared" ref="AF436:AF499" si="538">IF(AC436="", "", AE436+STDEV(AA:AA))</f>
        <v/>
      </c>
      <c r="AG436" s="288" t="str">
        <f t="shared" ref="AG436:AG499" si="539">IF(AE436="", "",AE436+(2*STDEV(AA:AA)))</f>
        <v/>
      </c>
      <c r="AH436" s="288" t="str">
        <f t="shared" ref="AH436:AH499" si="540">IF(AG436="", "", AE436+(3*STDEV(AA:AA)))</f>
        <v/>
      </c>
      <c r="AI436" s="36">
        <f t="shared" ref="AI436:AI499" si="541">IF(OR(AA436&gt;AH436,AA436&lt;AB436),AA436,-1)</f>
        <v>-1</v>
      </c>
      <c r="AJ436" s="36">
        <f t="shared" ref="AJ436:AJ499" si="542">IF(IF(AA435&gt;AG435,1,0)+IF(AA436&gt;AG436,1,0)+IF(AA437&gt;AG437,1,0)+IF(AA435&lt;AC435,1,0)+IF(AA436&lt;AC436,1,0)+IF(AA437&lt;AC437,1,0)&gt;=2,AA436,-1)</f>
        <v>-1</v>
      </c>
      <c r="AK436" s="36">
        <f t="shared" ref="AK436:AK499" si="543">IF(IF(AA434&lt;AD434,1,0)+IF(AA436&lt;AD436,1,0)+IF(AA437&lt;AD437,1,0)+IF(AA438&lt;AD438,1,0)+IF(AA435&lt;AD435,1,0)+IF(AA434&gt;AF434,1,0)+IF(AA435&gt;AF435,1,0)+IF(AA436&gt;AF436,1,0)+IF(AA437&gt;AF437,1,0)+IF(AA438&gt;AF438,1,0)&gt;4,AA436,-1)</f>
        <v>-1</v>
      </c>
      <c r="AL436" s="36"/>
      <c r="AM436" s="36" t="str">
        <f t="shared" si="484"/>
        <v/>
      </c>
      <c r="AN436" s="288" t="str">
        <f t="shared" ref="AN436:AN499" si="544">IF(AM436="", "", AQ436-(3*STDEV(AM:AM)))</f>
        <v/>
      </c>
      <c r="AO436" s="288" t="str">
        <f t="shared" ref="AO436:AO499" si="545">IF(AM436="", "", IF($AQ436-(2*(($AT436-$AQ436)/3))&lt;0, 0, $AQ436-(2*(($AT436-$AQ436)/3))))</f>
        <v/>
      </c>
      <c r="AP436" s="288" t="str">
        <f t="shared" ref="AP436:AP499" si="546">IF(AM436="", "", IF($AQ436-(($AT436-$AQ436)/3)&lt;0, 0, $AQ435-(($AT435-$AQ435)/3)))</f>
        <v/>
      </c>
      <c r="AQ436" s="36">
        <f t="shared" ref="AQ436:AS436" si="547">AQ435</f>
        <v>3.3793103448275866E-2</v>
      </c>
      <c r="AR436" s="36">
        <f t="shared" si="547"/>
        <v>5.9329425287356324E-2</v>
      </c>
      <c r="AS436" s="36">
        <f t="shared" si="547"/>
        <v>8.4865747126436797E-2</v>
      </c>
      <c r="AT436" s="288">
        <f t="shared" ref="AT436:AT499" si="548">$BM$3*AQ436</f>
        <v>0.11040206896551726</v>
      </c>
    </row>
    <row r="437" spans="2:46">
      <c r="B437" s="287"/>
      <c r="C437" s="707"/>
      <c r="D437" s="707"/>
      <c r="E437" s="707"/>
      <c r="F437" s="707"/>
      <c r="G437" s="707"/>
      <c r="H437" s="707"/>
      <c r="I437" s="707"/>
      <c r="J437" s="707"/>
      <c r="K437" s="707"/>
      <c r="L437" s="707"/>
      <c r="M437" s="707"/>
      <c r="N437" s="707"/>
      <c r="O437" s="707"/>
      <c r="P437" s="707"/>
      <c r="Q437" s="707"/>
      <c r="R437" s="707"/>
      <c r="S437" s="707"/>
      <c r="T437" s="707"/>
      <c r="U437" s="707"/>
      <c r="V437" s="707"/>
      <c r="W437" s="707"/>
      <c r="X437" s="707"/>
      <c r="Y437" s="707"/>
      <c r="Z437" s="707"/>
      <c r="AA437" s="36" t="str">
        <f t="shared" si="482"/>
        <v/>
      </c>
      <c r="AB437" s="288" t="str">
        <f t="shared" si="534"/>
        <v/>
      </c>
      <c r="AC437" s="288" t="str">
        <f t="shared" si="535"/>
        <v/>
      </c>
      <c r="AD437" s="288" t="str">
        <f t="shared" si="536"/>
        <v/>
      </c>
      <c r="AE437" s="288" t="str">
        <f t="shared" si="537"/>
        <v/>
      </c>
      <c r="AF437" s="288" t="str">
        <f t="shared" si="538"/>
        <v/>
      </c>
      <c r="AG437" s="288" t="str">
        <f t="shared" si="539"/>
        <v/>
      </c>
      <c r="AH437" s="288" t="str">
        <f t="shared" si="540"/>
        <v/>
      </c>
      <c r="AI437" s="36">
        <f t="shared" si="541"/>
        <v>-1</v>
      </c>
      <c r="AJ437" s="36">
        <f t="shared" si="542"/>
        <v>-1</v>
      </c>
      <c r="AK437" s="36">
        <f t="shared" si="543"/>
        <v>-1</v>
      </c>
      <c r="AL437" s="36"/>
      <c r="AM437" s="36" t="str">
        <f t="shared" si="484"/>
        <v/>
      </c>
      <c r="AN437" s="288" t="str">
        <f t="shared" si="544"/>
        <v/>
      </c>
      <c r="AO437" s="288" t="str">
        <f t="shared" si="545"/>
        <v/>
      </c>
      <c r="AP437" s="288" t="str">
        <f t="shared" si="546"/>
        <v/>
      </c>
      <c r="AQ437" s="36">
        <f t="shared" ref="AQ437:AS437" si="549">AQ436</f>
        <v>3.3793103448275866E-2</v>
      </c>
      <c r="AR437" s="36">
        <f t="shared" si="549"/>
        <v>5.9329425287356324E-2</v>
      </c>
      <c r="AS437" s="36">
        <f t="shared" si="549"/>
        <v>8.4865747126436797E-2</v>
      </c>
      <c r="AT437" s="288">
        <f t="shared" si="548"/>
        <v>0.11040206896551726</v>
      </c>
    </row>
    <row r="438" spans="2:46">
      <c r="B438" s="287"/>
      <c r="C438" s="707"/>
      <c r="D438" s="707"/>
      <c r="E438" s="707"/>
      <c r="F438" s="707"/>
      <c r="G438" s="707"/>
      <c r="H438" s="707"/>
      <c r="I438" s="707"/>
      <c r="J438" s="707"/>
      <c r="K438" s="707"/>
      <c r="L438" s="707"/>
      <c r="M438" s="707"/>
      <c r="N438" s="707"/>
      <c r="O438" s="707"/>
      <c r="P438" s="707"/>
      <c r="Q438" s="707"/>
      <c r="R438" s="707"/>
      <c r="S438" s="707"/>
      <c r="T438" s="707"/>
      <c r="U438" s="707"/>
      <c r="V438" s="707"/>
      <c r="W438" s="707"/>
      <c r="X438" s="707"/>
      <c r="Y438" s="707"/>
      <c r="Z438" s="707"/>
      <c r="AA438" s="36" t="str">
        <f t="shared" si="482"/>
        <v/>
      </c>
      <c r="AB438" s="288" t="str">
        <f t="shared" si="534"/>
        <v/>
      </c>
      <c r="AC438" s="288" t="str">
        <f t="shared" si="535"/>
        <v/>
      </c>
      <c r="AD438" s="288" t="str">
        <f t="shared" si="536"/>
        <v/>
      </c>
      <c r="AE438" s="288" t="str">
        <f t="shared" si="537"/>
        <v/>
      </c>
      <c r="AF438" s="288" t="str">
        <f t="shared" si="538"/>
        <v/>
      </c>
      <c r="AG438" s="288" t="str">
        <f t="shared" si="539"/>
        <v/>
      </c>
      <c r="AH438" s="288" t="str">
        <f t="shared" si="540"/>
        <v/>
      </c>
      <c r="AI438" s="36">
        <f t="shared" si="541"/>
        <v>-1</v>
      </c>
      <c r="AJ438" s="36">
        <f t="shared" si="542"/>
        <v>-1</v>
      </c>
      <c r="AK438" s="36">
        <f t="shared" si="543"/>
        <v>-1</v>
      </c>
      <c r="AL438" s="36"/>
      <c r="AM438" s="36" t="str">
        <f t="shared" si="484"/>
        <v/>
      </c>
      <c r="AN438" s="288" t="str">
        <f t="shared" si="544"/>
        <v/>
      </c>
      <c r="AO438" s="288" t="str">
        <f t="shared" si="545"/>
        <v/>
      </c>
      <c r="AP438" s="288" t="str">
        <f t="shared" si="546"/>
        <v/>
      </c>
      <c r="AQ438" s="36">
        <f t="shared" ref="AQ438:AS438" si="550">AQ437</f>
        <v>3.3793103448275866E-2</v>
      </c>
      <c r="AR438" s="36">
        <f t="shared" si="550"/>
        <v>5.9329425287356324E-2</v>
      </c>
      <c r="AS438" s="36">
        <f t="shared" si="550"/>
        <v>8.4865747126436797E-2</v>
      </c>
      <c r="AT438" s="288">
        <f t="shared" si="548"/>
        <v>0.11040206896551726</v>
      </c>
    </row>
    <row r="439" spans="2:46">
      <c r="B439" s="287"/>
      <c r="C439" s="707"/>
      <c r="D439" s="707"/>
      <c r="E439" s="707"/>
      <c r="F439" s="707"/>
      <c r="G439" s="707"/>
      <c r="H439" s="707"/>
      <c r="I439" s="707"/>
      <c r="J439" s="707"/>
      <c r="K439" s="707"/>
      <c r="L439" s="707"/>
      <c r="M439" s="707"/>
      <c r="N439" s="707"/>
      <c r="O439" s="707"/>
      <c r="P439" s="707"/>
      <c r="Q439" s="707"/>
      <c r="R439" s="707"/>
      <c r="S439" s="707"/>
      <c r="T439" s="707"/>
      <c r="U439" s="707"/>
      <c r="V439" s="707"/>
      <c r="W439" s="707"/>
      <c r="X439" s="707"/>
      <c r="Y439" s="707"/>
      <c r="Z439" s="707"/>
      <c r="AA439" s="36" t="str">
        <f t="shared" si="482"/>
        <v/>
      </c>
      <c r="AB439" s="288" t="str">
        <f t="shared" si="534"/>
        <v/>
      </c>
      <c r="AC439" s="288" t="str">
        <f t="shared" si="535"/>
        <v/>
      </c>
      <c r="AD439" s="288" t="str">
        <f t="shared" si="536"/>
        <v/>
      </c>
      <c r="AE439" s="288" t="str">
        <f t="shared" si="537"/>
        <v/>
      </c>
      <c r="AF439" s="288" t="str">
        <f t="shared" si="538"/>
        <v/>
      </c>
      <c r="AG439" s="288" t="str">
        <f t="shared" si="539"/>
        <v/>
      </c>
      <c r="AH439" s="288" t="str">
        <f t="shared" si="540"/>
        <v/>
      </c>
      <c r="AI439" s="36">
        <f t="shared" si="541"/>
        <v>-1</v>
      </c>
      <c r="AJ439" s="36">
        <f t="shared" si="542"/>
        <v>-1</v>
      </c>
      <c r="AK439" s="36">
        <f t="shared" si="543"/>
        <v>-1</v>
      </c>
      <c r="AL439" s="36"/>
      <c r="AM439" s="36" t="str">
        <f t="shared" si="484"/>
        <v/>
      </c>
      <c r="AN439" s="288" t="str">
        <f t="shared" si="544"/>
        <v/>
      </c>
      <c r="AO439" s="288" t="str">
        <f t="shared" si="545"/>
        <v/>
      </c>
      <c r="AP439" s="288" t="str">
        <f t="shared" si="546"/>
        <v/>
      </c>
      <c r="AQ439" s="36">
        <f t="shared" ref="AQ439:AS439" si="551">AQ438</f>
        <v>3.3793103448275866E-2</v>
      </c>
      <c r="AR439" s="36">
        <f t="shared" si="551"/>
        <v>5.9329425287356324E-2</v>
      </c>
      <c r="AS439" s="36">
        <f t="shared" si="551"/>
        <v>8.4865747126436797E-2</v>
      </c>
      <c r="AT439" s="288">
        <f t="shared" si="548"/>
        <v>0.11040206896551726</v>
      </c>
    </row>
    <row r="440" spans="2:46">
      <c r="B440" s="287"/>
      <c r="C440" s="707"/>
      <c r="D440" s="707"/>
      <c r="E440" s="707"/>
      <c r="F440" s="707"/>
      <c r="G440" s="707"/>
      <c r="H440" s="707"/>
      <c r="I440" s="707"/>
      <c r="J440" s="707"/>
      <c r="K440" s="707"/>
      <c r="L440" s="707"/>
      <c r="M440" s="707"/>
      <c r="N440" s="707"/>
      <c r="O440" s="707"/>
      <c r="P440" s="707"/>
      <c r="Q440" s="707"/>
      <c r="R440" s="707"/>
      <c r="S440" s="707"/>
      <c r="T440" s="707"/>
      <c r="U440" s="707"/>
      <c r="V440" s="707"/>
      <c r="W440" s="707"/>
      <c r="X440" s="707"/>
      <c r="Y440" s="707"/>
      <c r="Z440" s="707"/>
      <c r="AA440" s="36" t="str">
        <f t="shared" si="482"/>
        <v/>
      </c>
      <c r="AB440" s="288" t="str">
        <f t="shared" si="534"/>
        <v/>
      </c>
      <c r="AC440" s="288" t="str">
        <f t="shared" si="535"/>
        <v/>
      </c>
      <c r="AD440" s="288" t="str">
        <f t="shared" si="536"/>
        <v/>
      </c>
      <c r="AE440" s="288" t="str">
        <f t="shared" si="537"/>
        <v/>
      </c>
      <c r="AF440" s="288" t="str">
        <f t="shared" si="538"/>
        <v/>
      </c>
      <c r="AG440" s="288" t="str">
        <f t="shared" si="539"/>
        <v/>
      </c>
      <c r="AH440" s="288" t="str">
        <f t="shared" si="540"/>
        <v/>
      </c>
      <c r="AI440" s="36">
        <f t="shared" si="541"/>
        <v>-1</v>
      </c>
      <c r="AJ440" s="36">
        <f t="shared" si="542"/>
        <v>-1</v>
      </c>
      <c r="AK440" s="36">
        <f t="shared" si="543"/>
        <v>-1</v>
      </c>
      <c r="AL440" s="36"/>
      <c r="AM440" s="36" t="str">
        <f t="shared" si="484"/>
        <v/>
      </c>
      <c r="AN440" s="288" t="str">
        <f t="shared" si="544"/>
        <v/>
      </c>
      <c r="AO440" s="288" t="str">
        <f t="shared" si="545"/>
        <v/>
      </c>
      <c r="AP440" s="288" t="str">
        <f t="shared" si="546"/>
        <v/>
      </c>
      <c r="AQ440" s="36">
        <f t="shared" ref="AQ440:AS440" si="552">AQ439</f>
        <v>3.3793103448275866E-2</v>
      </c>
      <c r="AR440" s="36">
        <f t="shared" si="552"/>
        <v>5.9329425287356324E-2</v>
      </c>
      <c r="AS440" s="36">
        <f t="shared" si="552"/>
        <v>8.4865747126436797E-2</v>
      </c>
      <c r="AT440" s="288">
        <f t="shared" si="548"/>
        <v>0.11040206896551726</v>
      </c>
    </row>
    <row r="441" spans="2:46">
      <c r="B441" s="287"/>
      <c r="C441" s="707"/>
      <c r="D441" s="707"/>
      <c r="E441" s="707"/>
      <c r="F441" s="707"/>
      <c r="G441" s="707"/>
      <c r="H441" s="707"/>
      <c r="I441" s="707"/>
      <c r="J441" s="707"/>
      <c r="K441" s="707"/>
      <c r="L441" s="707"/>
      <c r="M441" s="707"/>
      <c r="N441" s="707"/>
      <c r="O441" s="707"/>
      <c r="P441" s="707"/>
      <c r="Q441" s="707"/>
      <c r="R441" s="707"/>
      <c r="S441" s="707"/>
      <c r="T441" s="707"/>
      <c r="U441" s="707"/>
      <c r="V441" s="707"/>
      <c r="W441" s="707"/>
      <c r="X441" s="707"/>
      <c r="Y441" s="707"/>
      <c r="Z441" s="707"/>
      <c r="AA441" s="36" t="str">
        <f t="shared" si="482"/>
        <v/>
      </c>
      <c r="AB441" s="288" t="str">
        <f t="shared" si="534"/>
        <v/>
      </c>
      <c r="AC441" s="288" t="str">
        <f t="shared" si="535"/>
        <v/>
      </c>
      <c r="AD441" s="288" t="str">
        <f t="shared" si="536"/>
        <v/>
      </c>
      <c r="AE441" s="288" t="str">
        <f t="shared" si="537"/>
        <v/>
      </c>
      <c r="AF441" s="288" t="str">
        <f t="shared" si="538"/>
        <v/>
      </c>
      <c r="AG441" s="288" t="str">
        <f t="shared" si="539"/>
        <v/>
      </c>
      <c r="AH441" s="288" t="str">
        <f t="shared" si="540"/>
        <v/>
      </c>
      <c r="AI441" s="36">
        <f t="shared" si="541"/>
        <v>-1</v>
      </c>
      <c r="AJ441" s="36">
        <f t="shared" si="542"/>
        <v>-1</v>
      </c>
      <c r="AK441" s="36">
        <f t="shared" si="543"/>
        <v>-1</v>
      </c>
      <c r="AL441" s="36"/>
      <c r="AM441" s="36" t="str">
        <f t="shared" si="484"/>
        <v/>
      </c>
      <c r="AN441" s="288" t="str">
        <f t="shared" si="544"/>
        <v/>
      </c>
      <c r="AO441" s="288" t="str">
        <f t="shared" si="545"/>
        <v/>
      </c>
      <c r="AP441" s="288" t="str">
        <f t="shared" si="546"/>
        <v/>
      </c>
      <c r="AQ441" s="36">
        <f t="shared" ref="AQ441:AS441" si="553">AQ440</f>
        <v>3.3793103448275866E-2</v>
      </c>
      <c r="AR441" s="36">
        <f t="shared" si="553"/>
        <v>5.9329425287356324E-2</v>
      </c>
      <c r="AS441" s="36">
        <f t="shared" si="553"/>
        <v>8.4865747126436797E-2</v>
      </c>
      <c r="AT441" s="288">
        <f t="shared" si="548"/>
        <v>0.11040206896551726</v>
      </c>
    </row>
    <row r="442" spans="2:46">
      <c r="B442" s="287"/>
      <c r="C442" s="707"/>
      <c r="D442" s="707"/>
      <c r="E442" s="707"/>
      <c r="F442" s="707"/>
      <c r="G442" s="707"/>
      <c r="H442" s="707"/>
      <c r="I442" s="707"/>
      <c r="J442" s="707"/>
      <c r="K442" s="707"/>
      <c r="L442" s="707"/>
      <c r="M442" s="707"/>
      <c r="N442" s="707"/>
      <c r="O442" s="707"/>
      <c r="P442" s="707"/>
      <c r="Q442" s="707"/>
      <c r="R442" s="707"/>
      <c r="S442" s="707"/>
      <c r="T442" s="707"/>
      <c r="U442" s="707"/>
      <c r="V442" s="707"/>
      <c r="W442" s="707"/>
      <c r="X442" s="707"/>
      <c r="Y442" s="707"/>
      <c r="Z442" s="707"/>
      <c r="AA442" s="36" t="str">
        <f t="shared" si="482"/>
        <v/>
      </c>
      <c r="AB442" s="288" t="str">
        <f t="shared" si="534"/>
        <v/>
      </c>
      <c r="AC442" s="288" t="str">
        <f t="shared" si="535"/>
        <v/>
      </c>
      <c r="AD442" s="288" t="str">
        <f t="shared" si="536"/>
        <v/>
      </c>
      <c r="AE442" s="288" t="str">
        <f t="shared" si="537"/>
        <v/>
      </c>
      <c r="AF442" s="288" t="str">
        <f t="shared" si="538"/>
        <v/>
      </c>
      <c r="AG442" s="288" t="str">
        <f t="shared" si="539"/>
        <v/>
      </c>
      <c r="AH442" s="288" t="str">
        <f t="shared" si="540"/>
        <v/>
      </c>
      <c r="AI442" s="36">
        <f t="shared" si="541"/>
        <v>-1</v>
      </c>
      <c r="AJ442" s="36">
        <f t="shared" si="542"/>
        <v>-1</v>
      </c>
      <c r="AK442" s="36">
        <f t="shared" si="543"/>
        <v>-1</v>
      </c>
      <c r="AL442" s="36"/>
      <c r="AM442" s="36" t="str">
        <f t="shared" si="484"/>
        <v/>
      </c>
      <c r="AN442" s="288" t="str">
        <f t="shared" si="544"/>
        <v/>
      </c>
      <c r="AO442" s="288" t="str">
        <f t="shared" si="545"/>
        <v/>
      </c>
      <c r="AP442" s="288" t="str">
        <f t="shared" si="546"/>
        <v/>
      </c>
      <c r="AQ442" s="36">
        <f t="shared" ref="AQ442:AS442" si="554">AQ441</f>
        <v>3.3793103448275866E-2</v>
      </c>
      <c r="AR442" s="36">
        <f t="shared" si="554"/>
        <v>5.9329425287356324E-2</v>
      </c>
      <c r="AS442" s="36">
        <f t="shared" si="554"/>
        <v>8.4865747126436797E-2</v>
      </c>
      <c r="AT442" s="288">
        <f t="shared" si="548"/>
        <v>0.11040206896551726</v>
      </c>
    </row>
    <row r="443" spans="2:46">
      <c r="B443" s="287"/>
      <c r="C443" s="707"/>
      <c r="D443" s="707"/>
      <c r="E443" s="707"/>
      <c r="F443" s="707"/>
      <c r="G443" s="707"/>
      <c r="H443" s="707"/>
      <c r="I443" s="707"/>
      <c r="J443" s="707"/>
      <c r="K443" s="707"/>
      <c r="L443" s="707"/>
      <c r="M443" s="707"/>
      <c r="N443" s="707"/>
      <c r="O443" s="707"/>
      <c r="P443" s="707"/>
      <c r="Q443" s="707"/>
      <c r="R443" s="707"/>
      <c r="S443" s="707"/>
      <c r="T443" s="707"/>
      <c r="U443" s="707"/>
      <c r="V443" s="707"/>
      <c r="W443" s="707"/>
      <c r="X443" s="707"/>
      <c r="Y443" s="707"/>
      <c r="Z443" s="707"/>
      <c r="AA443" s="36" t="str">
        <f t="shared" si="482"/>
        <v/>
      </c>
      <c r="AB443" s="288" t="str">
        <f t="shared" si="534"/>
        <v/>
      </c>
      <c r="AC443" s="288" t="str">
        <f t="shared" si="535"/>
        <v/>
      </c>
      <c r="AD443" s="288" t="str">
        <f t="shared" si="536"/>
        <v/>
      </c>
      <c r="AE443" s="288" t="str">
        <f t="shared" si="537"/>
        <v/>
      </c>
      <c r="AF443" s="288" t="str">
        <f t="shared" si="538"/>
        <v/>
      </c>
      <c r="AG443" s="288" t="str">
        <f t="shared" si="539"/>
        <v/>
      </c>
      <c r="AH443" s="288" t="str">
        <f t="shared" si="540"/>
        <v/>
      </c>
      <c r="AI443" s="36">
        <f t="shared" si="541"/>
        <v>-1</v>
      </c>
      <c r="AJ443" s="36">
        <f t="shared" si="542"/>
        <v>-1</v>
      </c>
      <c r="AK443" s="36">
        <f t="shared" si="543"/>
        <v>-1</v>
      </c>
      <c r="AL443" s="36"/>
      <c r="AM443" s="36" t="str">
        <f t="shared" si="484"/>
        <v/>
      </c>
      <c r="AN443" s="288" t="str">
        <f t="shared" si="544"/>
        <v/>
      </c>
      <c r="AO443" s="288" t="str">
        <f t="shared" si="545"/>
        <v/>
      </c>
      <c r="AP443" s="288" t="str">
        <f t="shared" si="546"/>
        <v/>
      </c>
      <c r="AQ443" s="36">
        <f t="shared" ref="AQ443:AS443" si="555">AQ442</f>
        <v>3.3793103448275866E-2</v>
      </c>
      <c r="AR443" s="36">
        <f t="shared" si="555"/>
        <v>5.9329425287356324E-2</v>
      </c>
      <c r="AS443" s="36">
        <f t="shared" si="555"/>
        <v>8.4865747126436797E-2</v>
      </c>
      <c r="AT443" s="288">
        <f t="shared" si="548"/>
        <v>0.11040206896551726</v>
      </c>
    </row>
    <row r="444" spans="2:46">
      <c r="B444" s="287"/>
      <c r="C444" s="707"/>
      <c r="D444" s="707"/>
      <c r="E444" s="707"/>
      <c r="F444" s="707"/>
      <c r="G444" s="707"/>
      <c r="H444" s="707"/>
      <c r="I444" s="707"/>
      <c r="J444" s="707"/>
      <c r="K444" s="707"/>
      <c r="L444" s="707"/>
      <c r="M444" s="707"/>
      <c r="N444" s="707"/>
      <c r="O444" s="707"/>
      <c r="P444" s="707"/>
      <c r="Q444" s="707"/>
      <c r="R444" s="707"/>
      <c r="S444" s="707"/>
      <c r="T444" s="707"/>
      <c r="U444" s="707"/>
      <c r="V444" s="707"/>
      <c r="W444" s="707"/>
      <c r="X444" s="707"/>
      <c r="Y444" s="707"/>
      <c r="Z444" s="707"/>
      <c r="AA444" s="36" t="str">
        <f t="shared" si="482"/>
        <v/>
      </c>
      <c r="AB444" s="288" t="str">
        <f t="shared" si="534"/>
        <v/>
      </c>
      <c r="AC444" s="288" t="str">
        <f t="shared" si="535"/>
        <v/>
      </c>
      <c r="AD444" s="288" t="str">
        <f t="shared" si="536"/>
        <v/>
      </c>
      <c r="AE444" s="288" t="str">
        <f t="shared" si="537"/>
        <v/>
      </c>
      <c r="AF444" s="288" t="str">
        <f t="shared" si="538"/>
        <v/>
      </c>
      <c r="AG444" s="288" t="str">
        <f t="shared" si="539"/>
        <v/>
      </c>
      <c r="AH444" s="288" t="str">
        <f t="shared" si="540"/>
        <v/>
      </c>
      <c r="AI444" s="36">
        <f t="shared" si="541"/>
        <v>-1</v>
      </c>
      <c r="AJ444" s="36">
        <f t="shared" si="542"/>
        <v>-1</v>
      </c>
      <c r="AK444" s="36">
        <f t="shared" si="543"/>
        <v>-1</v>
      </c>
      <c r="AL444" s="36"/>
      <c r="AM444" s="36" t="str">
        <f t="shared" si="484"/>
        <v/>
      </c>
      <c r="AN444" s="288" t="str">
        <f t="shared" si="544"/>
        <v/>
      </c>
      <c r="AO444" s="288" t="str">
        <f t="shared" si="545"/>
        <v/>
      </c>
      <c r="AP444" s="288" t="str">
        <f t="shared" si="546"/>
        <v/>
      </c>
      <c r="AQ444" s="36">
        <f t="shared" ref="AQ444:AS444" si="556">AQ443</f>
        <v>3.3793103448275866E-2</v>
      </c>
      <c r="AR444" s="36">
        <f t="shared" si="556"/>
        <v>5.9329425287356324E-2</v>
      </c>
      <c r="AS444" s="36">
        <f t="shared" si="556"/>
        <v>8.4865747126436797E-2</v>
      </c>
      <c r="AT444" s="288">
        <f t="shared" si="548"/>
        <v>0.11040206896551726</v>
      </c>
    </row>
    <row r="445" spans="2:46">
      <c r="B445" s="287"/>
      <c r="C445" s="707"/>
      <c r="D445" s="707"/>
      <c r="E445" s="707"/>
      <c r="F445" s="707"/>
      <c r="G445" s="707"/>
      <c r="H445" s="707"/>
      <c r="I445" s="707"/>
      <c r="J445" s="707"/>
      <c r="K445" s="707"/>
      <c r="L445" s="707"/>
      <c r="M445" s="707"/>
      <c r="N445" s="707"/>
      <c r="O445" s="707"/>
      <c r="P445" s="707"/>
      <c r="Q445" s="707"/>
      <c r="R445" s="707"/>
      <c r="S445" s="707"/>
      <c r="T445" s="707"/>
      <c r="U445" s="707"/>
      <c r="V445" s="707"/>
      <c r="W445" s="707"/>
      <c r="X445" s="707"/>
      <c r="Y445" s="707"/>
      <c r="Z445" s="707"/>
      <c r="AA445" s="36" t="str">
        <f t="shared" si="482"/>
        <v/>
      </c>
      <c r="AB445" s="288" t="str">
        <f t="shared" si="534"/>
        <v/>
      </c>
      <c r="AC445" s="288" t="str">
        <f t="shared" si="535"/>
        <v/>
      </c>
      <c r="AD445" s="288" t="str">
        <f t="shared" si="536"/>
        <v/>
      </c>
      <c r="AE445" s="288" t="str">
        <f t="shared" si="537"/>
        <v/>
      </c>
      <c r="AF445" s="288" t="str">
        <f t="shared" si="538"/>
        <v/>
      </c>
      <c r="AG445" s="288" t="str">
        <f t="shared" si="539"/>
        <v/>
      </c>
      <c r="AH445" s="288" t="str">
        <f t="shared" si="540"/>
        <v/>
      </c>
      <c r="AI445" s="36">
        <f t="shared" si="541"/>
        <v>-1</v>
      </c>
      <c r="AJ445" s="36">
        <f t="shared" si="542"/>
        <v>-1</v>
      </c>
      <c r="AK445" s="36">
        <f t="shared" si="543"/>
        <v>-1</v>
      </c>
      <c r="AL445" s="36"/>
      <c r="AM445" s="36" t="str">
        <f t="shared" si="484"/>
        <v/>
      </c>
      <c r="AN445" s="288" t="str">
        <f t="shared" si="544"/>
        <v/>
      </c>
      <c r="AO445" s="288" t="str">
        <f t="shared" si="545"/>
        <v/>
      </c>
      <c r="AP445" s="288" t="str">
        <f t="shared" si="546"/>
        <v/>
      </c>
      <c r="AQ445" s="36">
        <f t="shared" ref="AQ445:AS445" si="557">AQ444</f>
        <v>3.3793103448275866E-2</v>
      </c>
      <c r="AR445" s="36">
        <f t="shared" si="557"/>
        <v>5.9329425287356324E-2</v>
      </c>
      <c r="AS445" s="36">
        <f t="shared" si="557"/>
        <v>8.4865747126436797E-2</v>
      </c>
      <c r="AT445" s="288">
        <f t="shared" si="548"/>
        <v>0.11040206896551726</v>
      </c>
    </row>
    <row r="446" spans="2:46">
      <c r="B446" s="287"/>
      <c r="C446" s="707"/>
      <c r="D446" s="707"/>
      <c r="E446" s="707"/>
      <c r="F446" s="707"/>
      <c r="G446" s="707"/>
      <c r="H446" s="707"/>
      <c r="I446" s="707"/>
      <c r="J446" s="707"/>
      <c r="K446" s="707"/>
      <c r="L446" s="707"/>
      <c r="M446" s="707"/>
      <c r="N446" s="707"/>
      <c r="O446" s="707"/>
      <c r="P446" s="707"/>
      <c r="Q446" s="707"/>
      <c r="R446" s="707"/>
      <c r="S446" s="707"/>
      <c r="T446" s="707"/>
      <c r="U446" s="707"/>
      <c r="V446" s="707"/>
      <c r="W446" s="707"/>
      <c r="X446" s="707"/>
      <c r="Y446" s="707"/>
      <c r="Z446" s="707"/>
      <c r="AA446" s="36" t="str">
        <f t="shared" si="482"/>
        <v/>
      </c>
      <c r="AB446" s="288" t="str">
        <f t="shared" si="534"/>
        <v/>
      </c>
      <c r="AC446" s="288" t="str">
        <f t="shared" si="535"/>
        <v/>
      </c>
      <c r="AD446" s="288" t="str">
        <f t="shared" si="536"/>
        <v/>
      </c>
      <c r="AE446" s="288" t="str">
        <f t="shared" si="537"/>
        <v/>
      </c>
      <c r="AF446" s="288" t="str">
        <f t="shared" si="538"/>
        <v/>
      </c>
      <c r="AG446" s="288" t="str">
        <f t="shared" si="539"/>
        <v/>
      </c>
      <c r="AH446" s="288" t="str">
        <f t="shared" si="540"/>
        <v/>
      </c>
      <c r="AI446" s="36">
        <f t="shared" si="541"/>
        <v>-1</v>
      </c>
      <c r="AJ446" s="36">
        <f t="shared" si="542"/>
        <v>-1</v>
      </c>
      <c r="AK446" s="36">
        <f t="shared" si="543"/>
        <v>-1</v>
      </c>
      <c r="AL446" s="36"/>
      <c r="AM446" s="36" t="str">
        <f t="shared" si="484"/>
        <v/>
      </c>
      <c r="AN446" s="288" t="str">
        <f t="shared" si="544"/>
        <v/>
      </c>
      <c r="AO446" s="288" t="str">
        <f t="shared" si="545"/>
        <v/>
      </c>
      <c r="AP446" s="288" t="str">
        <f t="shared" si="546"/>
        <v/>
      </c>
      <c r="AQ446" s="36">
        <f t="shared" ref="AQ446:AS446" si="558">AQ445</f>
        <v>3.3793103448275866E-2</v>
      </c>
      <c r="AR446" s="36">
        <f t="shared" si="558"/>
        <v>5.9329425287356324E-2</v>
      </c>
      <c r="AS446" s="36">
        <f t="shared" si="558"/>
        <v>8.4865747126436797E-2</v>
      </c>
      <c r="AT446" s="288">
        <f t="shared" si="548"/>
        <v>0.11040206896551726</v>
      </c>
    </row>
    <row r="447" spans="2:46">
      <c r="B447" s="287"/>
      <c r="C447" s="707"/>
      <c r="D447" s="707"/>
      <c r="E447" s="707"/>
      <c r="F447" s="707"/>
      <c r="G447" s="707"/>
      <c r="H447" s="707"/>
      <c r="I447" s="707"/>
      <c r="J447" s="707"/>
      <c r="K447" s="707"/>
      <c r="L447" s="707"/>
      <c r="M447" s="707"/>
      <c r="N447" s="707"/>
      <c r="O447" s="707"/>
      <c r="P447" s="707"/>
      <c r="Q447" s="707"/>
      <c r="R447" s="707"/>
      <c r="S447" s="707"/>
      <c r="T447" s="707"/>
      <c r="U447" s="707"/>
      <c r="V447" s="707"/>
      <c r="W447" s="707"/>
      <c r="X447" s="707"/>
      <c r="Y447" s="707"/>
      <c r="Z447" s="707"/>
      <c r="AA447" s="36" t="str">
        <f t="shared" si="482"/>
        <v/>
      </c>
      <c r="AB447" s="288" t="str">
        <f t="shared" si="534"/>
        <v/>
      </c>
      <c r="AC447" s="288" t="str">
        <f t="shared" si="535"/>
        <v/>
      </c>
      <c r="AD447" s="288" t="str">
        <f t="shared" si="536"/>
        <v/>
      </c>
      <c r="AE447" s="288" t="str">
        <f t="shared" si="537"/>
        <v/>
      </c>
      <c r="AF447" s="288" t="str">
        <f t="shared" si="538"/>
        <v/>
      </c>
      <c r="AG447" s="288" t="str">
        <f t="shared" si="539"/>
        <v/>
      </c>
      <c r="AH447" s="288" t="str">
        <f t="shared" si="540"/>
        <v/>
      </c>
      <c r="AI447" s="36">
        <f t="shared" si="541"/>
        <v>-1</v>
      </c>
      <c r="AJ447" s="36">
        <f t="shared" si="542"/>
        <v>-1</v>
      </c>
      <c r="AK447" s="36">
        <f t="shared" si="543"/>
        <v>-1</v>
      </c>
      <c r="AL447" s="36"/>
      <c r="AM447" s="36" t="str">
        <f t="shared" si="484"/>
        <v/>
      </c>
      <c r="AN447" s="288" t="str">
        <f t="shared" si="544"/>
        <v/>
      </c>
      <c r="AO447" s="288" t="str">
        <f t="shared" si="545"/>
        <v/>
      </c>
      <c r="AP447" s="288" t="str">
        <f t="shared" si="546"/>
        <v/>
      </c>
      <c r="AQ447" s="36">
        <f t="shared" ref="AQ447:AS447" si="559">AQ446</f>
        <v>3.3793103448275866E-2</v>
      </c>
      <c r="AR447" s="36">
        <f t="shared" si="559"/>
        <v>5.9329425287356324E-2</v>
      </c>
      <c r="AS447" s="36">
        <f t="shared" si="559"/>
        <v>8.4865747126436797E-2</v>
      </c>
      <c r="AT447" s="288">
        <f t="shared" si="548"/>
        <v>0.11040206896551726</v>
      </c>
    </row>
    <row r="448" spans="2:46">
      <c r="B448" s="287"/>
      <c r="C448" s="707"/>
      <c r="D448" s="707"/>
      <c r="E448" s="707"/>
      <c r="F448" s="707"/>
      <c r="G448" s="707"/>
      <c r="H448" s="707"/>
      <c r="I448" s="707"/>
      <c r="J448" s="707"/>
      <c r="K448" s="707"/>
      <c r="L448" s="707"/>
      <c r="M448" s="707"/>
      <c r="N448" s="707"/>
      <c r="O448" s="707"/>
      <c r="P448" s="707"/>
      <c r="Q448" s="707"/>
      <c r="R448" s="707"/>
      <c r="S448" s="707"/>
      <c r="T448" s="707"/>
      <c r="U448" s="707"/>
      <c r="V448" s="707"/>
      <c r="W448" s="707"/>
      <c r="X448" s="707"/>
      <c r="Y448" s="707"/>
      <c r="Z448" s="707"/>
      <c r="AA448" s="36" t="str">
        <f t="shared" si="482"/>
        <v/>
      </c>
      <c r="AB448" s="288" t="str">
        <f t="shared" si="534"/>
        <v/>
      </c>
      <c r="AC448" s="288" t="str">
        <f t="shared" si="535"/>
        <v/>
      </c>
      <c r="AD448" s="288" t="str">
        <f t="shared" si="536"/>
        <v/>
      </c>
      <c r="AE448" s="288" t="str">
        <f t="shared" si="537"/>
        <v/>
      </c>
      <c r="AF448" s="288" t="str">
        <f t="shared" si="538"/>
        <v/>
      </c>
      <c r="AG448" s="288" t="str">
        <f t="shared" si="539"/>
        <v/>
      </c>
      <c r="AH448" s="288" t="str">
        <f t="shared" si="540"/>
        <v/>
      </c>
      <c r="AI448" s="36">
        <f t="shared" si="541"/>
        <v>-1</v>
      </c>
      <c r="AJ448" s="36">
        <f t="shared" si="542"/>
        <v>-1</v>
      </c>
      <c r="AK448" s="36">
        <f t="shared" si="543"/>
        <v>-1</v>
      </c>
      <c r="AL448" s="36"/>
      <c r="AM448" s="36" t="str">
        <f t="shared" si="484"/>
        <v/>
      </c>
      <c r="AN448" s="288" t="str">
        <f t="shared" si="544"/>
        <v/>
      </c>
      <c r="AO448" s="288" t="str">
        <f t="shared" si="545"/>
        <v/>
      </c>
      <c r="AP448" s="288" t="str">
        <f t="shared" si="546"/>
        <v/>
      </c>
      <c r="AQ448" s="36">
        <f t="shared" ref="AQ448:AS448" si="560">AQ447</f>
        <v>3.3793103448275866E-2</v>
      </c>
      <c r="AR448" s="36">
        <f t="shared" si="560"/>
        <v>5.9329425287356324E-2</v>
      </c>
      <c r="AS448" s="36">
        <f t="shared" si="560"/>
        <v>8.4865747126436797E-2</v>
      </c>
      <c r="AT448" s="288">
        <f t="shared" si="548"/>
        <v>0.11040206896551726</v>
      </c>
    </row>
    <row r="449" spans="2:46">
      <c r="B449" s="287"/>
      <c r="C449" s="707"/>
      <c r="D449" s="707"/>
      <c r="E449" s="707"/>
      <c r="F449" s="707"/>
      <c r="G449" s="707"/>
      <c r="H449" s="707"/>
      <c r="I449" s="707"/>
      <c r="J449" s="707"/>
      <c r="K449" s="707"/>
      <c r="L449" s="707"/>
      <c r="M449" s="707"/>
      <c r="N449" s="707"/>
      <c r="O449" s="707"/>
      <c r="P449" s="707"/>
      <c r="Q449" s="707"/>
      <c r="R449" s="707"/>
      <c r="S449" s="707"/>
      <c r="T449" s="707"/>
      <c r="U449" s="707"/>
      <c r="V449" s="707"/>
      <c r="W449" s="707"/>
      <c r="X449" s="707"/>
      <c r="Y449" s="707"/>
      <c r="Z449" s="707"/>
      <c r="AA449" s="36" t="str">
        <f t="shared" si="482"/>
        <v/>
      </c>
      <c r="AB449" s="288" t="str">
        <f t="shared" si="534"/>
        <v/>
      </c>
      <c r="AC449" s="288" t="str">
        <f t="shared" si="535"/>
        <v/>
      </c>
      <c r="AD449" s="288" t="str">
        <f t="shared" si="536"/>
        <v/>
      </c>
      <c r="AE449" s="288" t="str">
        <f t="shared" si="537"/>
        <v/>
      </c>
      <c r="AF449" s="288" t="str">
        <f t="shared" si="538"/>
        <v/>
      </c>
      <c r="AG449" s="288" t="str">
        <f t="shared" si="539"/>
        <v/>
      </c>
      <c r="AH449" s="288" t="str">
        <f t="shared" si="540"/>
        <v/>
      </c>
      <c r="AI449" s="36">
        <f t="shared" si="541"/>
        <v>-1</v>
      </c>
      <c r="AJ449" s="36">
        <f t="shared" si="542"/>
        <v>-1</v>
      </c>
      <c r="AK449" s="36">
        <f t="shared" si="543"/>
        <v>-1</v>
      </c>
      <c r="AL449" s="36"/>
      <c r="AM449" s="36" t="str">
        <f t="shared" si="484"/>
        <v/>
      </c>
      <c r="AN449" s="288" t="str">
        <f t="shared" si="544"/>
        <v/>
      </c>
      <c r="AO449" s="288" t="str">
        <f t="shared" si="545"/>
        <v/>
      </c>
      <c r="AP449" s="288" t="str">
        <f t="shared" si="546"/>
        <v/>
      </c>
      <c r="AQ449" s="36">
        <f t="shared" ref="AQ449:AS449" si="561">AQ448</f>
        <v>3.3793103448275866E-2</v>
      </c>
      <c r="AR449" s="36">
        <f t="shared" si="561"/>
        <v>5.9329425287356324E-2</v>
      </c>
      <c r="AS449" s="36">
        <f t="shared" si="561"/>
        <v>8.4865747126436797E-2</v>
      </c>
      <c r="AT449" s="288">
        <f t="shared" si="548"/>
        <v>0.11040206896551726</v>
      </c>
    </row>
    <row r="450" spans="2:46">
      <c r="B450" s="287"/>
      <c r="C450" s="707"/>
      <c r="D450" s="707"/>
      <c r="E450" s="707"/>
      <c r="F450" s="707"/>
      <c r="G450" s="707"/>
      <c r="H450" s="707"/>
      <c r="I450" s="707"/>
      <c r="J450" s="707"/>
      <c r="K450" s="707"/>
      <c r="L450" s="707"/>
      <c r="M450" s="707"/>
      <c r="N450" s="707"/>
      <c r="O450" s="707"/>
      <c r="P450" s="707"/>
      <c r="Q450" s="707"/>
      <c r="R450" s="707"/>
      <c r="S450" s="707"/>
      <c r="T450" s="707"/>
      <c r="U450" s="707"/>
      <c r="V450" s="707"/>
      <c r="W450" s="707"/>
      <c r="X450" s="707"/>
      <c r="Y450" s="707"/>
      <c r="Z450" s="707"/>
      <c r="AA450" s="36" t="str">
        <f t="shared" ref="AA450:AA501" si="562">IF(B450="","",B450)</f>
        <v/>
      </c>
      <c r="AB450" s="288" t="str">
        <f t="shared" si="534"/>
        <v/>
      </c>
      <c r="AC450" s="288" t="str">
        <f t="shared" si="535"/>
        <v/>
      </c>
      <c r="AD450" s="288" t="str">
        <f t="shared" si="536"/>
        <v/>
      </c>
      <c r="AE450" s="288" t="str">
        <f t="shared" si="537"/>
        <v/>
      </c>
      <c r="AF450" s="288" t="str">
        <f t="shared" si="538"/>
        <v/>
      </c>
      <c r="AG450" s="288" t="str">
        <f t="shared" si="539"/>
        <v/>
      </c>
      <c r="AH450" s="288" t="str">
        <f t="shared" si="540"/>
        <v/>
      </c>
      <c r="AI450" s="36">
        <f t="shared" si="541"/>
        <v>-1</v>
      </c>
      <c r="AJ450" s="36">
        <f t="shared" si="542"/>
        <v>-1</v>
      </c>
      <c r="AK450" s="36">
        <f t="shared" si="543"/>
        <v>-1</v>
      </c>
      <c r="AL450" s="36"/>
      <c r="AM450" s="36" t="str">
        <f t="shared" si="484"/>
        <v/>
      </c>
      <c r="AN450" s="288" t="str">
        <f t="shared" si="544"/>
        <v/>
      </c>
      <c r="AO450" s="288" t="str">
        <f t="shared" si="545"/>
        <v/>
      </c>
      <c r="AP450" s="288" t="str">
        <f t="shared" si="546"/>
        <v/>
      </c>
      <c r="AQ450" s="36">
        <f t="shared" ref="AQ450:AS450" si="563">AQ449</f>
        <v>3.3793103448275866E-2</v>
      </c>
      <c r="AR450" s="36">
        <f t="shared" si="563"/>
        <v>5.9329425287356324E-2</v>
      </c>
      <c r="AS450" s="36">
        <f t="shared" si="563"/>
        <v>8.4865747126436797E-2</v>
      </c>
      <c r="AT450" s="288">
        <f t="shared" si="548"/>
        <v>0.11040206896551726</v>
      </c>
    </row>
    <row r="451" spans="2:46">
      <c r="B451" s="287"/>
      <c r="C451" s="707"/>
      <c r="D451" s="707"/>
      <c r="E451" s="707"/>
      <c r="F451" s="707"/>
      <c r="G451" s="707"/>
      <c r="H451" s="707"/>
      <c r="I451" s="707"/>
      <c r="J451" s="707"/>
      <c r="K451" s="707"/>
      <c r="L451" s="707"/>
      <c r="M451" s="707"/>
      <c r="N451" s="707"/>
      <c r="O451" s="707"/>
      <c r="P451" s="707"/>
      <c r="Q451" s="707"/>
      <c r="R451" s="707"/>
      <c r="S451" s="707"/>
      <c r="T451" s="707"/>
      <c r="U451" s="707"/>
      <c r="V451" s="707"/>
      <c r="W451" s="707"/>
      <c r="X451" s="707"/>
      <c r="Y451" s="707"/>
      <c r="Z451" s="707"/>
      <c r="AA451" s="36" t="str">
        <f t="shared" si="562"/>
        <v/>
      </c>
      <c r="AB451" s="288" t="str">
        <f t="shared" si="534"/>
        <v/>
      </c>
      <c r="AC451" s="288" t="str">
        <f t="shared" si="535"/>
        <v/>
      </c>
      <c r="AD451" s="288" t="str">
        <f t="shared" si="536"/>
        <v/>
      </c>
      <c r="AE451" s="288" t="str">
        <f t="shared" si="537"/>
        <v/>
      </c>
      <c r="AF451" s="288" t="str">
        <f t="shared" si="538"/>
        <v/>
      </c>
      <c r="AG451" s="288" t="str">
        <f t="shared" si="539"/>
        <v/>
      </c>
      <c r="AH451" s="288" t="str">
        <f t="shared" si="540"/>
        <v/>
      </c>
      <c r="AI451" s="36">
        <f t="shared" si="541"/>
        <v>-1</v>
      </c>
      <c r="AJ451" s="36">
        <f t="shared" si="542"/>
        <v>-1</v>
      </c>
      <c r="AK451" s="36">
        <f t="shared" si="543"/>
        <v>-1</v>
      </c>
      <c r="AL451" s="36"/>
      <c r="AM451" s="36" t="str">
        <f t="shared" ref="AM451:AM501" si="564">IF(B451="", "", ABS(B451-B450))</f>
        <v/>
      </c>
      <c r="AN451" s="288" t="str">
        <f t="shared" si="544"/>
        <v/>
      </c>
      <c r="AO451" s="288" t="str">
        <f t="shared" si="545"/>
        <v/>
      </c>
      <c r="AP451" s="288" t="str">
        <f t="shared" si="546"/>
        <v/>
      </c>
      <c r="AQ451" s="36">
        <f t="shared" ref="AQ451:AS451" si="565">AQ450</f>
        <v>3.3793103448275866E-2</v>
      </c>
      <c r="AR451" s="36">
        <f t="shared" si="565"/>
        <v>5.9329425287356324E-2</v>
      </c>
      <c r="AS451" s="36">
        <f t="shared" si="565"/>
        <v>8.4865747126436797E-2</v>
      </c>
      <c r="AT451" s="288">
        <f t="shared" si="548"/>
        <v>0.11040206896551726</v>
      </c>
    </row>
    <row r="452" spans="2:46">
      <c r="B452" s="287"/>
      <c r="C452" s="707"/>
      <c r="D452" s="707"/>
      <c r="E452" s="707"/>
      <c r="F452" s="707"/>
      <c r="G452" s="707"/>
      <c r="H452" s="707"/>
      <c r="I452" s="707"/>
      <c r="J452" s="707"/>
      <c r="K452" s="707"/>
      <c r="L452" s="707"/>
      <c r="M452" s="707"/>
      <c r="N452" s="707"/>
      <c r="O452" s="707"/>
      <c r="P452" s="707"/>
      <c r="Q452" s="707"/>
      <c r="R452" s="707"/>
      <c r="S452" s="707"/>
      <c r="T452" s="707"/>
      <c r="U452" s="707"/>
      <c r="V452" s="707"/>
      <c r="W452" s="707"/>
      <c r="X452" s="707"/>
      <c r="Y452" s="707"/>
      <c r="Z452" s="707"/>
      <c r="AA452" s="36" t="str">
        <f t="shared" si="562"/>
        <v/>
      </c>
      <c r="AB452" s="288" t="str">
        <f t="shared" si="534"/>
        <v/>
      </c>
      <c r="AC452" s="288" t="str">
        <f t="shared" si="535"/>
        <v/>
      </c>
      <c r="AD452" s="288" t="str">
        <f t="shared" si="536"/>
        <v/>
      </c>
      <c r="AE452" s="288" t="str">
        <f t="shared" si="537"/>
        <v/>
      </c>
      <c r="AF452" s="288" t="str">
        <f t="shared" si="538"/>
        <v/>
      </c>
      <c r="AG452" s="288" t="str">
        <f t="shared" si="539"/>
        <v/>
      </c>
      <c r="AH452" s="288" t="str">
        <f t="shared" si="540"/>
        <v/>
      </c>
      <c r="AI452" s="36">
        <f t="shared" si="541"/>
        <v>-1</v>
      </c>
      <c r="AJ452" s="36">
        <f t="shared" si="542"/>
        <v>-1</v>
      </c>
      <c r="AK452" s="36">
        <f t="shared" si="543"/>
        <v>-1</v>
      </c>
      <c r="AL452" s="36"/>
      <c r="AM452" s="36" t="str">
        <f t="shared" si="564"/>
        <v/>
      </c>
      <c r="AN452" s="288" t="str">
        <f t="shared" si="544"/>
        <v/>
      </c>
      <c r="AO452" s="288" t="str">
        <f t="shared" si="545"/>
        <v/>
      </c>
      <c r="AP452" s="288" t="str">
        <f t="shared" si="546"/>
        <v/>
      </c>
      <c r="AQ452" s="36">
        <f t="shared" ref="AQ452:AS452" si="566">AQ451</f>
        <v>3.3793103448275866E-2</v>
      </c>
      <c r="AR452" s="36">
        <f t="shared" si="566"/>
        <v>5.9329425287356324E-2</v>
      </c>
      <c r="AS452" s="36">
        <f t="shared" si="566"/>
        <v>8.4865747126436797E-2</v>
      </c>
      <c r="AT452" s="288">
        <f t="shared" si="548"/>
        <v>0.11040206896551726</v>
      </c>
    </row>
    <row r="453" spans="2:46">
      <c r="B453" s="287"/>
      <c r="C453" s="707"/>
      <c r="D453" s="707"/>
      <c r="E453" s="707"/>
      <c r="F453" s="707"/>
      <c r="G453" s="707"/>
      <c r="H453" s="707"/>
      <c r="I453" s="707"/>
      <c r="J453" s="707"/>
      <c r="K453" s="707"/>
      <c r="L453" s="707"/>
      <c r="M453" s="707"/>
      <c r="N453" s="707"/>
      <c r="O453" s="707"/>
      <c r="P453" s="707"/>
      <c r="Q453" s="707"/>
      <c r="R453" s="707"/>
      <c r="S453" s="707"/>
      <c r="T453" s="707"/>
      <c r="U453" s="707"/>
      <c r="V453" s="707"/>
      <c r="W453" s="707"/>
      <c r="X453" s="707"/>
      <c r="Y453" s="707"/>
      <c r="Z453" s="707"/>
      <c r="AA453" s="36" t="str">
        <f t="shared" si="562"/>
        <v/>
      </c>
      <c r="AB453" s="288" t="str">
        <f t="shared" si="534"/>
        <v/>
      </c>
      <c r="AC453" s="288" t="str">
        <f t="shared" si="535"/>
        <v/>
      </c>
      <c r="AD453" s="288" t="str">
        <f t="shared" si="536"/>
        <v/>
      </c>
      <c r="AE453" s="288" t="str">
        <f t="shared" si="537"/>
        <v/>
      </c>
      <c r="AF453" s="288" t="str">
        <f t="shared" si="538"/>
        <v/>
      </c>
      <c r="AG453" s="288" t="str">
        <f t="shared" si="539"/>
        <v/>
      </c>
      <c r="AH453" s="288" t="str">
        <f t="shared" si="540"/>
        <v/>
      </c>
      <c r="AI453" s="36">
        <f t="shared" si="541"/>
        <v>-1</v>
      </c>
      <c r="AJ453" s="36">
        <f t="shared" si="542"/>
        <v>-1</v>
      </c>
      <c r="AK453" s="36">
        <f t="shared" si="543"/>
        <v>-1</v>
      </c>
      <c r="AL453" s="36"/>
      <c r="AM453" s="36" t="str">
        <f t="shared" si="564"/>
        <v/>
      </c>
      <c r="AN453" s="288" t="str">
        <f t="shared" si="544"/>
        <v/>
      </c>
      <c r="AO453" s="288" t="str">
        <f t="shared" si="545"/>
        <v/>
      </c>
      <c r="AP453" s="288" t="str">
        <f t="shared" si="546"/>
        <v/>
      </c>
      <c r="AQ453" s="36">
        <f t="shared" ref="AQ453:AS453" si="567">AQ452</f>
        <v>3.3793103448275866E-2</v>
      </c>
      <c r="AR453" s="36">
        <f t="shared" si="567"/>
        <v>5.9329425287356324E-2</v>
      </c>
      <c r="AS453" s="36">
        <f t="shared" si="567"/>
        <v>8.4865747126436797E-2</v>
      </c>
      <c r="AT453" s="288">
        <f t="shared" si="548"/>
        <v>0.11040206896551726</v>
      </c>
    </row>
    <row r="454" spans="2:46">
      <c r="B454" s="287"/>
      <c r="C454" s="707"/>
      <c r="D454" s="707"/>
      <c r="E454" s="707"/>
      <c r="F454" s="707"/>
      <c r="G454" s="707"/>
      <c r="H454" s="707"/>
      <c r="I454" s="707"/>
      <c r="J454" s="707"/>
      <c r="K454" s="707"/>
      <c r="L454" s="707"/>
      <c r="M454" s="707"/>
      <c r="N454" s="707"/>
      <c r="O454" s="707"/>
      <c r="P454" s="707"/>
      <c r="Q454" s="707"/>
      <c r="R454" s="707"/>
      <c r="S454" s="707"/>
      <c r="T454" s="707"/>
      <c r="U454" s="707"/>
      <c r="V454" s="707"/>
      <c r="W454" s="707"/>
      <c r="X454" s="707"/>
      <c r="Y454" s="707"/>
      <c r="Z454" s="707"/>
      <c r="AA454" s="36" t="str">
        <f t="shared" si="562"/>
        <v/>
      </c>
      <c r="AB454" s="288" t="str">
        <f t="shared" si="534"/>
        <v/>
      </c>
      <c r="AC454" s="288" t="str">
        <f t="shared" si="535"/>
        <v/>
      </c>
      <c r="AD454" s="288" t="str">
        <f t="shared" si="536"/>
        <v/>
      </c>
      <c r="AE454" s="288" t="str">
        <f t="shared" si="537"/>
        <v/>
      </c>
      <c r="AF454" s="288" t="str">
        <f t="shared" si="538"/>
        <v/>
      </c>
      <c r="AG454" s="288" t="str">
        <f t="shared" si="539"/>
        <v/>
      </c>
      <c r="AH454" s="288" t="str">
        <f t="shared" si="540"/>
        <v/>
      </c>
      <c r="AI454" s="36">
        <f t="shared" si="541"/>
        <v>-1</v>
      </c>
      <c r="AJ454" s="36">
        <f t="shared" si="542"/>
        <v>-1</v>
      </c>
      <c r="AK454" s="36">
        <f t="shared" si="543"/>
        <v>-1</v>
      </c>
      <c r="AL454" s="36"/>
      <c r="AM454" s="36" t="str">
        <f t="shared" si="564"/>
        <v/>
      </c>
      <c r="AN454" s="288" t="str">
        <f t="shared" si="544"/>
        <v/>
      </c>
      <c r="AO454" s="288" t="str">
        <f t="shared" si="545"/>
        <v/>
      </c>
      <c r="AP454" s="288" t="str">
        <f t="shared" si="546"/>
        <v/>
      </c>
      <c r="AQ454" s="36">
        <f t="shared" ref="AQ454:AS454" si="568">AQ453</f>
        <v>3.3793103448275866E-2</v>
      </c>
      <c r="AR454" s="36">
        <f t="shared" si="568"/>
        <v>5.9329425287356324E-2</v>
      </c>
      <c r="AS454" s="36">
        <f t="shared" si="568"/>
        <v>8.4865747126436797E-2</v>
      </c>
      <c r="AT454" s="288">
        <f t="shared" si="548"/>
        <v>0.11040206896551726</v>
      </c>
    </row>
    <row r="455" spans="2:46">
      <c r="B455" s="287"/>
      <c r="C455" s="707"/>
      <c r="D455" s="707"/>
      <c r="E455" s="707"/>
      <c r="F455" s="707"/>
      <c r="G455" s="707"/>
      <c r="H455" s="707"/>
      <c r="I455" s="707"/>
      <c r="J455" s="707"/>
      <c r="K455" s="707"/>
      <c r="L455" s="707"/>
      <c r="M455" s="707"/>
      <c r="N455" s="707"/>
      <c r="O455" s="707"/>
      <c r="P455" s="707"/>
      <c r="Q455" s="707"/>
      <c r="R455" s="707"/>
      <c r="S455" s="707"/>
      <c r="T455" s="707"/>
      <c r="U455" s="707"/>
      <c r="V455" s="707"/>
      <c r="W455" s="707"/>
      <c r="X455" s="707"/>
      <c r="Y455" s="707"/>
      <c r="Z455" s="707"/>
      <c r="AA455" s="36" t="str">
        <f t="shared" si="562"/>
        <v/>
      </c>
      <c r="AB455" s="288" t="str">
        <f t="shared" si="534"/>
        <v/>
      </c>
      <c r="AC455" s="288" t="str">
        <f t="shared" si="535"/>
        <v/>
      </c>
      <c r="AD455" s="288" t="str">
        <f t="shared" si="536"/>
        <v/>
      </c>
      <c r="AE455" s="288" t="str">
        <f t="shared" si="537"/>
        <v/>
      </c>
      <c r="AF455" s="288" t="str">
        <f t="shared" si="538"/>
        <v/>
      </c>
      <c r="AG455" s="288" t="str">
        <f t="shared" si="539"/>
        <v/>
      </c>
      <c r="AH455" s="288" t="str">
        <f t="shared" si="540"/>
        <v/>
      </c>
      <c r="AI455" s="36">
        <f t="shared" si="541"/>
        <v>-1</v>
      </c>
      <c r="AJ455" s="36">
        <f t="shared" si="542"/>
        <v>-1</v>
      </c>
      <c r="AK455" s="36">
        <f t="shared" si="543"/>
        <v>-1</v>
      </c>
      <c r="AL455" s="36"/>
      <c r="AM455" s="36" t="str">
        <f t="shared" si="564"/>
        <v/>
      </c>
      <c r="AN455" s="288" t="str">
        <f t="shared" si="544"/>
        <v/>
      </c>
      <c r="AO455" s="288" t="str">
        <f t="shared" si="545"/>
        <v/>
      </c>
      <c r="AP455" s="288" t="str">
        <f t="shared" si="546"/>
        <v/>
      </c>
      <c r="AQ455" s="36">
        <f t="shared" ref="AQ455:AS455" si="569">AQ454</f>
        <v>3.3793103448275866E-2</v>
      </c>
      <c r="AR455" s="36">
        <f t="shared" si="569"/>
        <v>5.9329425287356324E-2</v>
      </c>
      <c r="AS455" s="36">
        <f t="shared" si="569"/>
        <v>8.4865747126436797E-2</v>
      </c>
      <c r="AT455" s="288">
        <f t="shared" si="548"/>
        <v>0.11040206896551726</v>
      </c>
    </row>
    <row r="456" spans="2:46">
      <c r="B456" s="287"/>
      <c r="C456" s="707"/>
      <c r="D456" s="707"/>
      <c r="E456" s="707"/>
      <c r="F456" s="707"/>
      <c r="G456" s="707"/>
      <c r="H456" s="707"/>
      <c r="I456" s="707"/>
      <c r="J456" s="707"/>
      <c r="K456" s="707"/>
      <c r="L456" s="707"/>
      <c r="M456" s="707"/>
      <c r="N456" s="707"/>
      <c r="O456" s="707"/>
      <c r="P456" s="707"/>
      <c r="Q456" s="707"/>
      <c r="R456" s="707"/>
      <c r="S456" s="707"/>
      <c r="T456" s="707"/>
      <c r="U456" s="707"/>
      <c r="V456" s="707"/>
      <c r="W456" s="707"/>
      <c r="X456" s="707"/>
      <c r="Y456" s="707"/>
      <c r="Z456" s="707"/>
      <c r="AA456" s="36" t="str">
        <f t="shared" si="562"/>
        <v/>
      </c>
      <c r="AB456" s="288" t="str">
        <f t="shared" si="534"/>
        <v/>
      </c>
      <c r="AC456" s="288" t="str">
        <f t="shared" si="535"/>
        <v/>
      </c>
      <c r="AD456" s="288" t="str">
        <f t="shared" si="536"/>
        <v/>
      </c>
      <c r="AE456" s="288" t="str">
        <f t="shared" si="537"/>
        <v/>
      </c>
      <c r="AF456" s="288" t="str">
        <f t="shared" si="538"/>
        <v/>
      </c>
      <c r="AG456" s="288" t="str">
        <f t="shared" si="539"/>
        <v/>
      </c>
      <c r="AH456" s="288" t="str">
        <f t="shared" si="540"/>
        <v/>
      </c>
      <c r="AI456" s="36">
        <f t="shared" si="541"/>
        <v>-1</v>
      </c>
      <c r="AJ456" s="36">
        <f t="shared" si="542"/>
        <v>-1</v>
      </c>
      <c r="AK456" s="36">
        <f t="shared" si="543"/>
        <v>-1</v>
      </c>
      <c r="AL456" s="36"/>
      <c r="AM456" s="36" t="str">
        <f t="shared" si="564"/>
        <v/>
      </c>
      <c r="AN456" s="288" t="str">
        <f t="shared" si="544"/>
        <v/>
      </c>
      <c r="AO456" s="288" t="str">
        <f t="shared" si="545"/>
        <v/>
      </c>
      <c r="AP456" s="288" t="str">
        <f t="shared" si="546"/>
        <v/>
      </c>
      <c r="AQ456" s="36">
        <f t="shared" ref="AQ456:AS456" si="570">AQ455</f>
        <v>3.3793103448275866E-2</v>
      </c>
      <c r="AR456" s="36">
        <f t="shared" si="570"/>
        <v>5.9329425287356324E-2</v>
      </c>
      <c r="AS456" s="36">
        <f t="shared" si="570"/>
        <v>8.4865747126436797E-2</v>
      </c>
      <c r="AT456" s="288">
        <f t="shared" si="548"/>
        <v>0.11040206896551726</v>
      </c>
    </row>
    <row r="457" spans="2:46">
      <c r="B457" s="287"/>
      <c r="C457" s="707"/>
      <c r="D457" s="707"/>
      <c r="E457" s="707"/>
      <c r="F457" s="707"/>
      <c r="G457" s="707"/>
      <c r="H457" s="707"/>
      <c r="I457" s="707"/>
      <c r="J457" s="707"/>
      <c r="K457" s="707"/>
      <c r="L457" s="707"/>
      <c r="M457" s="707"/>
      <c r="N457" s="707"/>
      <c r="O457" s="707"/>
      <c r="P457" s="707"/>
      <c r="Q457" s="707"/>
      <c r="R457" s="707"/>
      <c r="S457" s="707"/>
      <c r="T457" s="707"/>
      <c r="U457" s="707"/>
      <c r="V457" s="707"/>
      <c r="W457" s="707"/>
      <c r="X457" s="707"/>
      <c r="Y457" s="707"/>
      <c r="Z457" s="707"/>
      <c r="AA457" s="36" t="str">
        <f t="shared" si="562"/>
        <v/>
      </c>
      <c r="AB457" s="288" t="str">
        <f t="shared" si="534"/>
        <v/>
      </c>
      <c r="AC457" s="288" t="str">
        <f t="shared" si="535"/>
        <v/>
      </c>
      <c r="AD457" s="288" t="str">
        <f t="shared" si="536"/>
        <v/>
      </c>
      <c r="AE457" s="288" t="str">
        <f t="shared" si="537"/>
        <v/>
      </c>
      <c r="AF457" s="288" t="str">
        <f t="shared" si="538"/>
        <v/>
      </c>
      <c r="AG457" s="288" t="str">
        <f t="shared" si="539"/>
        <v/>
      </c>
      <c r="AH457" s="288" t="str">
        <f t="shared" si="540"/>
        <v/>
      </c>
      <c r="AI457" s="36">
        <f t="shared" si="541"/>
        <v>-1</v>
      </c>
      <c r="AJ457" s="36">
        <f t="shared" si="542"/>
        <v>-1</v>
      </c>
      <c r="AK457" s="36">
        <f t="shared" si="543"/>
        <v>-1</v>
      </c>
      <c r="AL457" s="36"/>
      <c r="AM457" s="36" t="str">
        <f t="shared" si="564"/>
        <v/>
      </c>
      <c r="AN457" s="288" t="str">
        <f t="shared" si="544"/>
        <v/>
      </c>
      <c r="AO457" s="288" t="str">
        <f t="shared" si="545"/>
        <v/>
      </c>
      <c r="AP457" s="288" t="str">
        <f t="shared" si="546"/>
        <v/>
      </c>
      <c r="AQ457" s="36">
        <f t="shared" ref="AQ457:AS457" si="571">AQ456</f>
        <v>3.3793103448275866E-2</v>
      </c>
      <c r="AR457" s="36">
        <f t="shared" si="571"/>
        <v>5.9329425287356324E-2</v>
      </c>
      <c r="AS457" s="36">
        <f t="shared" si="571"/>
        <v>8.4865747126436797E-2</v>
      </c>
      <c r="AT457" s="288">
        <f t="shared" si="548"/>
        <v>0.11040206896551726</v>
      </c>
    </row>
    <row r="458" spans="2:46">
      <c r="B458" s="287"/>
      <c r="C458" s="707"/>
      <c r="D458" s="707"/>
      <c r="E458" s="707"/>
      <c r="F458" s="707"/>
      <c r="G458" s="707"/>
      <c r="H458" s="707"/>
      <c r="I458" s="707"/>
      <c r="J458" s="707"/>
      <c r="K458" s="707"/>
      <c r="L458" s="707"/>
      <c r="M458" s="707"/>
      <c r="N458" s="707"/>
      <c r="O458" s="707"/>
      <c r="P458" s="707"/>
      <c r="Q458" s="707"/>
      <c r="R458" s="707"/>
      <c r="S458" s="707"/>
      <c r="T458" s="707"/>
      <c r="U458" s="707"/>
      <c r="V458" s="707"/>
      <c r="W458" s="707"/>
      <c r="X458" s="707"/>
      <c r="Y458" s="707"/>
      <c r="Z458" s="707"/>
      <c r="AA458" s="36" t="str">
        <f t="shared" si="562"/>
        <v/>
      </c>
      <c r="AB458" s="288" t="str">
        <f t="shared" si="534"/>
        <v/>
      </c>
      <c r="AC458" s="288" t="str">
        <f t="shared" si="535"/>
        <v/>
      </c>
      <c r="AD458" s="288" t="str">
        <f t="shared" si="536"/>
        <v/>
      </c>
      <c r="AE458" s="288" t="str">
        <f t="shared" si="537"/>
        <v/>
      </c>
      <c r="AF458" s="288" t="str">
        <f t="shared" si="538"/>
        <v/>
      </c>
      <c r="AG458" s="288" t="str">
        <f t="shared" si="539"/>
        <v/>
      </c>
      <c r="AH458" s="288" t="str">
        <f t="shared" si="540"/>
        <v/>
      </c>
      <c r="AI458" s="36">
        <f t="shared" si="541"/>
        <v>-1</v>
      </c>
      <c r="AJ458" s="36">
        <f t="shared" si="542"/>
        <v>-1</v>
      </c>
      <c r="AK458" s="36">
        <f t="shared" si="543"/>
        <v>-1</v>
      </c>
      <c r="AL458" s="36"/>
      <c r="AM458" s="36" t="str">
        <f t="shared" si="564"/>
        <v/>
      </c>
      <c r="AN458" s="288" t="str">
        <f t="shared" si="544"/>
        <v/>
      </c>
      <c r="AO458" s="288" t="str">
        <f t="shared" si="545"/>
        <v/>
      </c>
      <c r="AP458" s="288" t="str">
        <f t="shared" si="546"/>
        <v/>
      </c>
      <c r="AQ458" s="36">
        <f t="shared" ref="AQ458:AS458" si="572">AQ457</f>
        <v>3.3793103448275866E-2</v>
      </c>
      <c r="AR458" s="36">
        <f t="shared" si="572"/>
        <v>5.9329425287356324E-2</v>
      </c>
      <c r="AS458" s="36">
        <f t="shared" si="572"/>
        <v>8.4865747126436797E-2</v>
      </c>
      <c r="AT458" s="288">
        <f t="shared" si="548"/>
        <v>0.11040206896551726</v>
      </c>
    </row>
    <row r="459" spans="2:46">
      <c r="B459" s="287"/>
      <c r="C459" s="707"/>
      <c r="D459" s="707"/>
      <c r="E459" s="707"/>
      <c r="F459" s="707"/>
      <c r="G459" s="707"/>
      <c r="H459" s="707"/>
      <c r="I459" s="707"/>
      <c r="J459" s="707"/>
      <c r="K459" s="707"/>
      <c r="L459" s="707"/>
      <c r="M459" s="707"/>
      <c r="N459" s="707"/>
      <c r="O459" s="707"/>
      <c r="P459" s="707"/>
      <c r="Q459" s="707"/>
      <c r="R459" s="707"/>
      <c r="S459" s="707"/>
      <c r="T459" s="707"/>
      <c r="U459" s="707"/>
      <c r="V459" s="707"/>
      <c r="W459" s="707"/>
      <c r="X459" s="707"/>
      <c r="Y459" s="707"/>
      <c r="Z459" s="707"/>
      <c r="AA459" s="36" t="str">
        <f t="shared" si="562"/>
        <v/>
      </c>
      <c r="AB459" s="288" t="str">
        <f t="shared" si="534"/>
        <v/>
      </c>
      <c r="AC459" s="288" t="str">
        <f t="shared" si="535"/>
        <v/>
      </c>
      <c r="AD459" s="288" t="str">
        <f t="shared" si="536"/>
        <v/>
      </c>
      <c r="AE459" s="288" t="str">
        <f t="shared" si="537"/>
        <v/>
      </c>
      <c r="AF459" s="288" t="str">
        <f t="shared" si="538"/>
        <v/>
      </c>
      <c r="AG459" s="288" t="str">
        <f t="shared" si="539"/>
        <v/>
      </c>
      <c r="AH459" s="288" t="str">
        <f t="shared" si="540"/>
        <v/>
      </c>
      <c r="AI459" s="36">
        <f t="shared" si="541"/>
        <v>-1</v>
      </c>
      <c r="AJ459" s="36">
        <f t="shared" si="542"/>
        <v>-1</v>
      </c>
      <c r="AK459" s="36">
        <f t="shared" si="543"/>
        <v>-1</v>
      </c>
      <c r="AL459" s="36"/>
      <c r="AM459" s="36" t="str">
        <f t="shared" si="564"/>
        <v/>
      </c>
      <c r="AN459" s="288" t="str">
        <f t="shared" si="544"/>
        <v/>
      </c>
      <c r="AO459" s="288" t="str">
        <f t="shared" si="545"/>
        <v/>
      </c>
      <c r="AP459" s="288" t="str">
        <f t="shared" si="546"/>
        <v/>
      </c>
      <c r="AQ459" s="36">
        <f t="shared" ref="AQ459:AS459" si="573">AQ458</f>
        <v>3.3793103448275866E-2</v>
      </c>
      <c r="AR459" s="36">
        <f t="shared" si="573"/>
        <v>5.9329425287356324E-2</v>
      </c>
      <c r="AS459" s="36">
        <f t="shared" si="573"/>
        <v>8.4865747126436797E-2</v>
      </c>
      <c r="AT459" s="288">
        <f t="shared" si="548"/>
        <v>0.11040206896551726</v>
      </c>
    </row>
    <row r="460" spans="2:46">
      <c r="B460" s="287"/>
      <c r="C460" s="707"/>
      <c r="D460" s="707"/>
      <c r="E460" s="707"/>
      <c r="F460" s="707"/>
      <c r="G460" s="707"/>
      <c r="H460" s="707"/>
      <c r="I460" s="707"/>
      <c r="J460" s="707"/>
      <c r="K460" s="707"/>
      <c r="L460" s="707"/>
      <c r="M460" s="707"/>
      <c r="N460" s="707"/>
      <c r="O460" s="707"/>
      <c r="P460" s="707"/>
      <c r="Q460" s="707"/>
      <c r="R460" s="707"/>
      <c r="S460" s="707"/>
      <c r="T460" s="707"/>
      <c r="U460" s="707"/>
      <c r="V460" s="707"/>
      <c r="W460" s="707"/>
      <c r="X460" s="707"/>
      <c r="Y460" s="707"/>
      <c r="Z460" s="707"/>
      <c r="AA460" s="36" t="str">
        <f t="shared" si="562"/>
        <v/>
      </c>
      <c r="AB460" s="288" t="str">
        <f t="shared" si="534"/>
        <v/>
      </c>
      <c r="AC460" s="288" t="str">
        <f t="shared" si="535"/>
        <v/>
      </c>
      <c r="AD460" s="288" t="str">
        <f t="shared" si="536"/>
        <v/>
      </c>
      <c r="AE460" s="288" t="str">
        <f t="shared" si="537"/>
        <v/>
      </c>
      <c r="AF460" s="288" t="str">
        <f t="shared" si="538"/>
        <v/>
      </c>
      <c r="AG460" s="288" t="str">
        <f t="shared" si="539"/>
        <v/>
      </c>
      <c r="AH460" s="288" t="str">
        <f t="shared" si="540"/>
        <v/>
      </c>
      <c r="AI460" s="36">
        <f t="shared" si="541"/>
        <v>-1</v>
      </c>
      <c r="AJ460" s="36">
        <f t="shared" si="542"/>
        <v>-1</v>
      </c>
      <c r="AK460" s="36">
        <f t="shared" si="543"/>
        <v>-1</v>
      </c>
      <c r="AL460" s="36"/>
      <c r="AM460" s="36" t="str">
        <f t="shared" si="564"/>
        <v/>
      </c>
      <c r="AN460" s="288" t="str">
        <f t="shared" si="544"/>
        <v/>
      </c>
      <c r="AO460" s="288" t="str">
        <f t="shared" si="545"/>
        <v/>
      </c>
      <c r="AP460" s="288" t="str">
        <f t="shared" si="546"/>
        <v/>
      </c>
      <c r="AQ460" s="36">
        <f t="shared" ref="AQ460:AS460" si="574">AQ459</f>
        <v>3.3793103448275866E-2</v>
      </c>
      <c r="AR460" s="36">
        <f t="shared" si="574"/>
        <v>5.9329425287356324E-2</v>
      </c>
      <c r="AS460" s="36">
        <f t="shared" si="574"/>
        <v>8.4865747126436797E-2</v>
      </c>
      <c r="AT460" s="288">
        <f t="shared" si="548"/>
        <v>0.11040206896551726</v>
      </c>
    </row>
    <row r="461" spans="2:46">
      <c r="B461" s="287"/>
      <c r="C461" s="707"/>
      <c r="D461" s="707"/>
      <c r="E461" s="707"/>
      <c r="F461" s="707"/>
      <c r="G461" s="707"/>
      <c r="H461" s="707"/>
      <c r="I461" s="707"/>
      <c r="J461" s="707"/>
      <c r="K461" s="707"/>
      <c r="L461" s="707"/>
      <c r="M461" s="707"/>
      <c r="N461" s="707"/>
      <c r="O461" s="707"/>
      <c r="P461" s="707"/>
      <c r="Q461" s="707"/>
      <c r="R461" s="707"/>
      <c r="S461" s="707"/>
      <c r="T461" s="707"/>
      <c r="U461" s="707"/>
      <c r="V461" s="707"/>
      <c r="W461" s="707"/>
      <c r="X461" s="707"/>
      <c r="Y461" s="707"/>
      <c r="Z461" s="707"/>
      <c r="AA461" s="36" t="str">
        <f t="shared" si="562"/>
        <v/>
      </c>
      <c r="AB461" s="288" t="str">
        <f t="shared" si="534"/>
        <v/>
      </c>
      <c r="AC461" s="288" t="str">
        <f t="shared" si="535"/>
        <v/>
      </c>
      <c r="AD461" s="288" t="str">
        <f t="shared" si="536"/>
        <v/>
      </c>
      <c r="AE461" s="288" t="str">
        <f t="shared" si="537"/>
        <v/>
      </c>
      <c r="AF461" s="288" t="str">
        <f t="shared" si="538"/>
        <v/>
      </c>
      <c r="AG461" s="288" t="str">
        <f t="shared" si="539"/>
        <v/>
      </c>
      <c r="AH461" s="288" t="str">
        <f t="shared" si="540"/>
        <v/>
      </c>
      <c r="AI461" s="36">
        <f t="shared" si="541"/>
        <v>-1</v>
      </c>
      <c r="AJ461" s="36">
        <f t="shared" si="542"/>
        <v>-1</v>
      </c>
      <c r="AK461" s="36">
        <f t="shared" si="543"/>
        <v>-1</v>
      </c>
      <c r="AL461" s="36"/>
      <c r="AM461" s="36" t="str">
        <f t="shared" si="564"/>
        <v/>
      </c>
      <c r="AN461" s="288" t="str">
        <f t="shared" si="544"/>
        <v/>
      </c>
      <c r="AO461" s="288" t="str">
        <f t="shared" si="545"/>
        <v/>
      </c>
      <c r="AP461" s="288" t="str">
        <f t="shared" si="546"/>
        <v/>
      </c>
      <c r="AQ461" s="36">
        <f t="shared" ref="AQ461:AS461" si="575">AQ460</f>
        <v>3.3793103448275866E-2</v>
      </c>
      <c r="AR461" s="36">
        <f t="shared" si="575"/>
        <v>5.9329425287356324E-2</v>
      </c>
      <c r="AS461" s="36">
        <f t="shared" si="575"/>
        <v>8.4865747126436797E-2</v>
      </c>
      <c r="AT461" s="288">
        <f t="shared" si="548"/>
        <v>0.11040206896551726</v>
      </c>
    </row>
    <row r="462" spans="2:46">
      <c r="B462" s="287"/>
      <c r="C462" s="707"/>
      <c r="D462" s="707"/>
      <c r="E462" s="707"/>
      <c r="F462" s="707"/>
      <c r="G462" s="707"/>
      <c r="H462" s="707"/>
      <c r="I462" s="707"/>
      <c r="J462" s="707"/>
      <c r="K462" s="707"/>
      <c r="L462" s="707"/>
      <c r="M462" s="707"/>
      <c r="N462" s="707"/>
      <c r="O462" s="707"/>
      <c r="P462" s="707"/>
      <c r="Q462" s="707"/>
      <c r="R462" s="707"/>
      <c r="S462" s="707"/>
      <c r="T462" s="707"/>
      <c r="U462" s="707"/>
      <c r="V462" s="707"/>
      <c r="W462" s="707"/>
      <c r="X462" s="707"/>
      <c r="Y462" s="707"/>
      <c r="Z462" s="707"/>
      <c r="AA462" s="36" t="str">
        <f t="shared" si="562"/>
        <v/>
      </c>
      <c r="AB462" s="288" t="str">
        <f t="shared" si="534"/>
        <v/>
      </c>
      <c r="AC462" s="288" t="str">
        <f t="shared" si="535"/>
        <v/>
      </c>
      <c r="AD462" s="288" t="str">
        <f t="shared" si="536"/>
        <v/>
      </c>
      <c r="AE462" s="288" t="str">
        <f t="shared" si="537"/>
        <v/>
      </c>
      <c r="AF462" s="288" t="str">
        <f t="shared" si="538"/>
        <v/>
      </c>
      <c r="AG462" s="288" t="str">
        <f t="shared" si="539"/>
        <v/>
      </c>
      <c r="AH462" s="288" t="str">
        <f t="shared" si="540"/>
        <v/>
      </c>
      <c r="AI462" s="36">
        <f t="shared" si="541"/>
        <v>-1</v>
      </c>
      <c r="AJ462" s="36">
        <f t="shared" si="542"/>
        <v>-1</v>
      </c>
      <c r="AK462" s="36">
        <f t="shared" si="543"/>
        <v>-1</v>
      </c>
      <c r="AL462" s="36"/>
      <c r="AM462" s="36" t="str">
        <f t="shared" si="564"/>
        <v/>
      </c>
      <c r="AN462" s="288" t="str">
        <f t="shared" si="544"/>
        <v/>
      </c>
      <c r="AO462" s="288" t="str">
        <f t="shared" si="545"/>
        <v/>
      </c>
      <c r="AP462" s="288" t="str">
        <f t="shared" si="546"/>
        <v/>
      </c>
      <c r="AQ462" s="36">
        <f t="shared" ref="AQ462:AS462" si="576">AQ461</f>
        <v>3.3793103448275866E-2</v>
      </c>
      <c r="AR462" s="36">
        <f t="shared" si="576"/>
        <v>5.9329425287356324E-2</v>
      </c>
      <c r="AS462" s="36">
        <f t="shared" si="576"/>
        <v>8.4865747126436797E-2</v>
      </c>
      <c r="AT462" s="288">
        <f t="shared" si="548"/>
        <v>0.11040206896551726</v>
      </c>
    </row>
    <row r="463" spans="2:46">
      <c r="B463" s="287"/>
      <c r="C463" s="707"/>
      <c r="D463" s="707"/>
      <c r="E463" s="707"/>
      <c r="F463" s="707"/>
      <c r="G463" s="707"/>
      <c r="H463" s="707"/>
      <c r="I463" s="707"/>
      <c r="J463" s="707"/>
      <c r="K463" s="707"/>
      <c r="L463" s="707"/>
      <c r="M463" s="707"/>
      <c r="N463" s="707"/>
      <c r="O463" s="707"/>
      <c r="P463" s="707"/>
      <c r="Q463" s="707"/>
      <c r="R463" s="707"/>
      <c r="S463" s="707"/>
      <c r="T463" s="707"/>
      <c r="U463" s="707"/>
      <c r="V463" s="707"/>
      <c r="W463" s="707"/>
      <c r="X463" s="707"/>
      <c r="Y463" s="707"/>
      <c r="Z463" s="707"/>
      <c r="AA463" s="36" t="str">
        <f t="shared" si="562"/>
        <v/>
      </c>
      <c r="AB463" s="288" t="str">
        <f t="shared" si="534"/>
        <v/>
      </c>
      <c r="AC463" s="288" t="str">
        <f t="shared" si="535"/>
        <v/>
      </c>
      <c r="AD463" s="288" t="str">
        <f t="shared" si="536"/>
        <v/>
      </c>
      <c r="AE463" s="288" t="str">
        <f t="shared" si="537"/>
        <v/>
      </c>
      <c r="AF463" s="288" t="str">
        <f t="shared" si="538"/>
        <v/>
      </c>
      <c r="AG463" s="288" t="str">
        <f t="shared" si="539"/>
        <v/>
      </c>
      <c r="AH463" s="288" t="str">
        <f t="shared" si="540"/>
        <v/>
      </c>
      <c r="AI463" s="36">
        <f t="shared" si="541"/>
        <v>-1</v>
      </c>
      <c r="AJ463" s="36">
        <f t="shared" si="542"/>
        <v>-1</v>
      </c>
      <c r="AK463" s="36">
        <f t="shared" si="543"/>
        <v>-1</v>
      </c>
      <c r="AL463" s="36"/>
      <c r="AM463" s="36" t="str">
        <f t="shared" si="564"/>
        <v/>
      </c>
      <c r="AN463" s="288" t="str">
        <f t="shared" si="544"/>
        <v/>
      </c>
      <c r="AO463" s="288" t="str">
        <f t="shared" si="545"/>
        <v/>
      </c>
      <c r="AP463" s="288" t="str">
        <f t="shared" si="546"/>
        <v/>
      </c>
      <c r="AQ463" s="36">
        <f t="shared" ref="AQ463:AS463" si="577">AQ462</f>
        <v>3.3793103448275866E-2</v>
      </c>
      <c r="AR463" s="36">
        <f t="shared" si="577"/>
        <v>5.9329425287356324E-2</v>
      </c>
      <c r="AS463" s="36">
        <f t="shared" si="577"/>
        <v>8.4865747126436797E-2</v>
      </c>
      <c r="AT463" s="288">
        <f t="shared" si="548"/>
        <v>0.11040206896551726</v>
      </c>
    </row>
    <row r="464" spans="2:46">
      <c r="B464" s="287"/>
      <c r="C464" s="707"/>
      <c r="D464" s="707"/>
      <c r="E464" s="707"/>
      <c r="F464" s="707"/>
      <c r="G464" s="707"/>
      <c r="H464" s="707"/>
      <c r="I464" s="707"/>
      <c r="J464" s="707"/>
      <c r="K464" s="707"/>
      <c r="L464" s="707"/>
      <c r="M464" s="707"/>
      <c r="N464" s="707"/>
      <c r="O464" s="707"/>
      <c r="P464" s="707"/>
      <c r="Q464" s="707"/>
      <c r="R464" s="707"/>
      <c r="S464" s="707"/>
      <c r="T464" s="707"/>
      <c r="U464" s="707"/>
      <c r="V464" s="707"/>
      <c r="W464" s="707"/>
      <c r="X464" s="707"/>
      <c r="Y464" s="707"/>
      <c r="Z464" s="707"/>
      <c r="AA464" s="36" t="str">
        <f t="shared" si="562"/>
        <v/>
      </c>
      <c r="AB464" s="288" t="str">
        <f t="shared" si="534"/>
        <v/>
      </c>
      <c r="AC464" s="288" t="str">
        <f t="shared" si="535"/>
        <v/>
      </c>
      <c r="AD464" s="288" t="str">
        <f t="shared" si="536"/>
        <v/>
      </c>
      <c r="AE464" s="288" t="str">
        <f t="shared" si="537"/>
        <v/>
      </c>
      <c r="AF464" s="288" t="str">
        <f t="shared" si="538"/>
        <v/>
      </c>
      <c r="AG464" s="288" t="str">
        <f t="shared" si="539"/>
        <v/>
      </c>
      <c r="AH464" s="288" t="str">
        <f t="shared" si="540"/>
        <v/>
      </c>
      <c r="AI464" s="36">
        <f t="shared" si="541"/>
        <v>-1</v>
      </c>
      <c r="AJ464" s="36">
        <f t="shared" si="542"/>
        <v>-1</v>
      </c>
      <c r="AK464" s="36">
        <f t="shared" si="543"/>
        <v>-1</v>
      </c>
      <c r="AL464" s="36"/>
      <c r="AM464" s="36" t="str">
        <f t="shared" si="564"/>
        <v/>
      </c>
      <c r="AN464" s="288" t="str">
        <f t="shared" si="544"/>
        <v/>
      </c>
      <c r="AO464" s="288" t="str">
        <f t="shared" si="545"/>
        <v/>
      </c>
      <c r="AP464" s="288" t="str">
        <f t="shared" si="546"/>
        <v/>
      </c>
      <c r="AQ464" s="36">
        <f t="shared" ref="AQ464:AS464" si="578">AQ463</f>
        <v>3.3793103448275866E-2</v>
      </c>
      <c r="AR464" s="36">
        <f t="shared" si="578"/>
        <v>5.9329425287356324E-2</v>
      </c>
      <c r="AS464" s="36">
        <f t="shared" si="578"/>
        <v>8.4865747126436797E-2</v>
      </c>
      <c r="AT464" s="288">
        <f t="shared" si="548"/>
        <v>0.11040206896551726</v>
      </c>
    </row>
    <row r="465" spans="2:46">
      <c r="B465" s="287"/>
      <c r="C465" s="707"/>
      <c r="D465" s="707"/>
      <c r="E465" s="707"/>
      <c r="F465" s="707"/>
      <c r="G465" s="707"/>
      <c r="H465" s="707"/>
      <c r="I465" s="707"/>
      <c r="J465" s="707"/>
      <c r="K465" s="707"/>
      <c r="L465" s="707"/>
      <c r="M465" s="707"/>
      <c r="N465" s="707"/>
      <c r="O465" s="707"/>
      <c r="P465" s="707"/>
      <c r="Q465" s="707"/>
      <c r="R465" s="707"/>
      <c r="S465" s="707"/>
      <c r="T465" s="707"/>
      <c r="U465" s="707"/>
      <c r="V465" s="707"/>
      <c r="W465" s="707"/>
      <c r="X465" s="707"/>
      <c r="Y465" s="707"/>
      <c r="Z465" s="707"/>
      <c r="AA465" s="36" t="str">
        <f t="shared" si="562"/>
        <v/>
      </c>
      <c r="AB465" s="288" t="str">
        <f t="shared" si="534"/>
        <v/>
      </c>
      <c r="AC465" s="288" t="str">
        <f t="shared" si="535"/>
        <v/>
      </c>
      <c r="AD465" s="288" t="str">
        <f t="shared" si="536"/>
        <v/>
      </c>
      <c r="AE465" s="288" t="str">
        <f t="shared" si="537"/>
        <v/>
      </c>
      <c r="AF465" s="288" t="str">
        <f t="shared" si="538"/>
        <v/>
      </c>
      <c r="AG465" s="288" t="str">
        <f t="shared" si="539"/>
        <v/>
      </c>
      <c r="AH465" s="288" t="str">
        <f t="shared" si="540"/>
        <v/>
      </c>
      <c r="AI465" s="36">
        <f t="shared" si="541"/>
        <v>-1</v>
      </c>
      <c r="AJ465" s="36">
        <f t="shared" si="542"/>
        <v>-1</v>
      </c>
      <c r="AK465" s="36">
        <f t="shared" si="543"/>
        <v>-1</v>
      </c>
      <c r="AL465" s="36"/>
      <c r="AM465" s="36" t="str">
        <f t="shared" si="564"/>
        <v/>
      </c>
      <c r="AN465" s="288" t="str">
        <f t="shared" si="544"/>
        <v/>
      </c>
      <c r="AO465" s="288" t="str">
        <f t="shared" si="545"/>
        <v/>
      </c>
      <c r="AP465" s="288" t="str">
        <f t="shared" si="546"/>
        <v/>
      </c>
      <c r="AQ465" s="36">
        <f t="shared" ref="AQ465:AS465" si="579">AQ464</f>
        <v>3.3793103448275866E-2</v>
      </c>
      <c r="AR465" s="36">
        <f t="shared" si="579"/>
        <v>5.9329425287356324E-2</v>
      </c>
      <c r="AS465" s="36">
        <f t="shared" si="579"/>
        <v>8.4865747126436797E-2</v>
      </c>
      <c r="AT465" s="288">
        <f t="shared" si="548"/>
        <v>0.11040206896551726</v>
      </c>
    </row>
    <row r="466" spans="2:46">
      <c r="B466" s="287"/>
      <c r="C466" s="707"/>
      <c r="D466" s="707"/>
      <c r="E466" s="707"/>
      <c r="F466" s="707"/>
      <c r="G466" s="707"/>
      <c r="H466" s="707"/>
      <c r="I466" s="707"/>
      <c r="J466" s="707"/>
      <c r="K466" s="707"/>
      <c r="L466" s="707"/>
      <c r="M466" s="707"/>
      <c r="N466" s="707"/>
      <c r="O466" s="707"/>
      <c r="P466" s="707"/>
      <c r="Q466" s="707"/>
      <c r="R466" s="707"/>
      <c r="S466" s="707"/>
      <c r="T466" s="707"/>
      <c r="U466" s="707"/>
      <c r="V466" s="707"/>
      <c r="W466" s="707"/>
      <c r="X466" s="707"/>
      <c r="Y466" s="707"/>
      <c r="Z466" s="707"/>
      <c r="AA466" s="36" t="str">
        <f t="shared" si="562"/>
        <v/>
      </c>
      <c r="AB466" s="288" t="str">
        <f t="shared" si="534"/>
        <v/>
      </c>
      <c r="AC466" s="288" t="str">
        <f t="shared" si="535"/>
        <v/>
      </c>
      <c r="AD466" s="288" t="str">
        <f t="shared" si="536"/>
        <v/>
      </c>
      <c r="AE466" s="288" t="str">
        <f t="shared" si="537"/>
        <v/>
      </c>
      <c r="AF466" s="288" t="str">
        <f t="shared" si="538"/>
        <v/>
      </c>
      <c r="AG466" s="288" t="str">
        <f t="shared" si="539"/>
        <v/>
      </c>
      <c r="AH466" s="288" t="str">
        <f t="shared" si="540"/>
        <v/>
      </c>
      <c r="AI466" s="36">
        <f t="shared" si="541"/>
        <v>-1</v>
      </c>
      <c r="AJ466" s="36">
        <f t="shared" si="542"/>
        <v>-1</v>
      </c>
      <c r="AK466" s="36">
        <f t="shared" si="543"/>
        <v>-1</v>
      </c>
      <c r="AL466" s="36"/>
      <c r="AM466" s="36" t="str">
        <f t="shared" si="564"/>
        <v/>
      </c>
      <c r="AN466" s="288" t="str">
        <f t="shared" si="544"/>
        <v/>
      </c>
      <c r="AO466" s="288" t="str">
        <f t="shared" si="545"/>
        <v/>
      </c>
      <c r="AP466" s="288" t="str">
        <f t="shared" si="546"/>
        <v/>
      </c>
      <c r="AQ466" s="36">
        <f t="shared" ref="AQ466:AS466" si="580">AQ465</f>
        <v>3.3793103448275866E-2</v>
      </c>
      <c r="AR466" s="36">
        <f t="shared" si="580"/>
        <v>5.9329425287356324E-2</v>
      </c>
      <c r="AS466" s="36">
        <f t="shared" si="580"/>
        <v>8.4865747126436797E-2</v>
      </c>
      <c r="AT466" s="288">
        <f t="shared" si="548"/>
        <v>0.11040206896551726</v>
      </c>
    </row>
    <row r="467" spans="2:46">
      <c r="B467" s="287"/>
      <c r="C467" s="707"/>
      <c r="D467" s="707"/>
      <c r="E467" s="707"/>
      <c r="F467" s="707"/>
      <c r="G467" s="707"/>
      <c r="H467" s="707"/>
      <c r="I467" s="707"/>
      <c r="J467" s="707"/>
      <c r="K467" s="707"/>
      <c r="L467" s="707"/>
      <c r="M467" s="707"/>
      <c r="N467" s="707"/>
      <c r="O467" s="707"/>
      <c r="P467" s="707"/>
      <c r="Q467" s="707"/>
      <c r="R467" s="707"/>
      <c r="S467" s="707"/>
      <c r="T467" s="707"/>
      <c r="U467" s="707"/>
      <c r="V467" s="707"/>
      <c r="W467" s="707"/>
      <c r="X467" s="707"/>
      <c r="Y467" s="707"/>
      <c r="Z467" s="707"/>
      <c r="AA467" s="36" t="str">
        <f t="shared" si="562"/>
        <v/>
      </c>
      <c r="AB467" s="288" t="str">
        <f t="shared" si="534"/>
        <v/>
      </c>
      <c r="AC467" s="288" t="str">
        <f t="shared" si="535"/>
        <v/>
      </c>
      <c r="AD467" s="288" t="str">
        <f t="shared" si="536"/>
        <v/>
      </c>
      <c r="AE467" s="288" t="str">
        <f t="shared" si="537"/>
        <v/>
      </c>
      <c r="AF467" s="288" t="str">
        <f t="shared" si="538"/>
        <v/>
      </c>
      <c r="AG467" s="288" t="str">
        <f t="shared" si="539"/>
        <v/>
      </c>
      <c r="AH467" s="288" t="str">
        <f t="shared" si="540"/>
        <v/>
      </c>
      <c r="AI467" s="36">
        <f t="shared" si="541"/>
        <v>-1</v>
      </c>
      <c r="AJ467" s="36">
        <f t="shared" si="542"/>
        <v>-1</v>
      </c>
      <c r="AK467" s="36">
        <f t="shared" si="543"/>
        <v>-1</v>
      </c>
      <c r="AL467" s="36"/>
      <c r="AM467" s="36" t="str">
        <f t="shared" si="564"/>
        <v/>
      </c>
      <c r="AN467" s="288" t="str">
        <f t="shared" si="544"/>
        <v/>
      </c>
      <c r="AO467" s="288" t="str">
        <f t="shared" si="545"/>
        <v/>
      </c>
      <c r="AP467" s="288" t="str">
        <f t="shared" si="546"/>
        <v/>
      </c>
      <c r="AQ467" s="36">
        <f t="shared" ref="AQ467:AS467" si="581">AQ466</f>
        <v>3.3793103448275866E-2</v>
      </c>
      <c r="AR467" s="36">
        <f t="shared" si="581"/>
        <v>5.9329425287356324E-2</v>
      </c>
      <c r="AS467" s="36">
        <f t="shared" si="581"/>
        <v>8.4865747126436797E-2</v>
      </c>
      <c r="AT467" s="288">
        <f t="shared" si="548"/>
        <v>0.11040206896551726</v>
      </c>
    </row>
    <row r="468" spans="2:46">
      <c r="B468" s="287"/>
      <c r="C468" s="707"/>
      <c r="D468" s="707"/>
      <c r="E468" s="707"/>
      <c r="F468" s="707"/>
      <c r="G468" s="707"/>
      <c r="H468" s="707"/>
      <c r="I468" s="707"/>
      <c r="J468" s="707"/>
      <c r="K468" s="707"/>
      <c r="L468" s="707"/>
      <c r="M468" s="707"/>
      <c r="N468" s="707"/>
      <c r="O468" s="707"/>
      <c r="P468" s="707"/>
      <c r="Q468" s="707"/>
      <c r="R468" s="707"/>
      <c r="S468" s="707"/>
      <c r="T468" s="707"/>
      <c r="U468" s="707"/>
      <c r="V468" s="707"/>
      <c r="W468" s="707"/>
      <c r="X468" s="707"/>
      <c r="Y468" s="707"/>
      <c r="Z468" s="707"/>
      <c r="AA468" s="36" t="str">
        <f t="shared" si="562"/>
        <v/>
      </c>
      <c r="AB468" s="288" t="str">
        <f t="shared" si="534"/>
        <v/>
      </c>
      <c r="AC468" s="288" t="str">
        <f t="shared" si="535"/>
        <v/>
      </c>
      <c r="AD468" s="288" t="str">
        <f t="shared" si="536"/>
        <v/>
      </c>
      <c r="AE468" s="288" t="str">
        <f t="shared" si="537"/>
        <v/>
      </c>
      <c r="AF468" s="288" t="str">
        <f t="shared" si="538"/>
        <v/>
      </c>
      <c r="AG468" s="288" t="str">
        <f t="shared" si="539"/>
        <v/>
      </c>
      <c r="AH468" s="288" t="str">
        <f t="shared" si="540"/>
        <v/>
      </c>
      <c r="AI468" s="36">
        <f t="shared" si="541"/>
        <v>-1</v>
      </c>
      <c r="AJ468" s="36">
        <f t="shared" si="542"/>
        <v>-1</v>
      </c>
      <c r="AK468" s="36">
        <f t="shared" si="543"/>
        <v>-1</v>
      </c>
      <c r="AL468" s="36"/>
      <c r="AM468" s="36" t="str">
        <f t="shared" si="564"/>
        <v/>
      </c>
      <c r="AN468" s="288" t="str">
        <f t="shared" si="544"/>
        <v/>
      </c>
      <c r="AO468" s="288" t="str">
        <f t="shared" si="545"/>
        <v/>
      </c>
      <c r="AP468" s="288" t="str">
        <f t="shared" si="546"/>
        <v/>
      </c>
      <c r="AQ468" s="36">
        <f t="shared" ref="AQ468:AS468" si="582">AQ467</f>
        <v>3.3793103448275866E-2</v>
      </c>
      <c r="AR468" s="36">
        <f t="shared" si="582"/>
        <v>5.9329425287356324E-2</v>
      </c>
      <c r="AS468" s="36">
        <f t="shared" si="582"/>
        <v>8.4865747126436797E-2</v>
      </c>
      <c r="AT468" s="288">
        <f t="shared" si="548"/>
        <v>0.11040206896551726</v>
      </c>
    </row>
    <row r="469" spans="2:46">
      <c r="B469" s="287"/>
      <c r="C469" s="707"/>
      <c r="D469" s="707"/>
      <c r="E469" s="707"/>
      <c r="F469" s="707"/>
      <c r="G469" s="707"/>
      <c r="H469" s="707"/>
      <c r="I469" s="707"/>
      <c r="J469" s="707"/>
      <c r="K469" s="707"/>
      <c r="L469" s="707"/>
      <c r="M469" s="707"/>
      <c r="N469" s="707"/>
      <c r="O469" s="707"/>
      <c r="P469" s="707"/>
      <c r="Q469" s="707"/>
      <c r="R469" s="707"/>
      <c r="S469" s="707"/>
      <c r="T469" s="707"/>
      <c r="U469" s="707"/>
      <c r="V469" s="707"/>
      <c r="W469" s="707"/>
      <c r="X469" s="707"/>
      <c r="Y469" s="707"/>
      <c r="Z469" s="707"/>
      <c r="AA469" s="36" t="str">
        <f t="shared" si="562"/>
        <v/>
      </c>
      <c r="AB469" s="288" t="str">
        <f t="shared" si="534"/>
        <v/>
      </c>
      <c r="AC469" s="288" t="str">
        <f t="shared" si="535"/>
        <v/>
      </c>
      <c r="AD469" s="288" t="str">
        <f t="shared" si="536"/>
        <v/>
      </c>
      <c r="AE469" s="288" t="str">
        <f t="shared" si="537"/>
        <v/>
      </c>
      <c r="AF469" s="288" t="str">
        <f t="shared" si="538"/>
        <v/>
      </c>
      <c r="AG469" s="288" t="str">
        <f t="shared" si="539"/>
        <v/>
      </c>
      <c r="AH469" s="288" t="str">
        <f t="shared" si="540"/>
        <v/>
      </c>
      <c r="AI469" s="36">
        <f t="shared" si="541"/>
        <v>-1</v>
      </c>
      <c r="AJ469" s="36">
        <f t="shared" si="542"/>
        <v>-1</v>
      </c>
      <c r="AK469" s="36">
        <f t="shared" si="543"/>
        <v>-1</v>
      </c>
      <c r="AL469" s="36"/>
      <c r="AM469" s="36" t="str">
        <f t="shared" si="564"/>
        <v/>
      </c>
      <c r="AN469" s="288" t="str">
        <f t="shared" si="544"/>
        <v/>
      </c>
      <c r="AO469" s="288" t="str">
        <f t="shared" si="545"/>
        <v/>
      </c>
      <c r="AP469" s="288" t="str">
        <f t="shared" si="546"/>
        <v/>
      </c>
      <c r="AQ469" s="36">
        <f t="shared" ref="AQ469:AS469" si="583">AQ468</f>
        <v>3.3793103448275866E-2</v>
      </c>
      <c r="AR469" s="36">
        <f t="shared" si="583"/>
        <v>5.9329425287356324E-2</v>
      </c>
      <c r="AS469" s="36">
        <f t="shared" si="583"/>
        <v>8.4865747126436797E-2</v>
      </c>
      <c r="AT469" s="288">
        <f t="shared" si="548"/>
        <v>0.11040206896551726</v>
      </c>
    </row>
    <row r="470" spans="2:46">
      <c r="B470" s="287"/>
      <c r="C470" s="707"/>
      <c r="D470" s="707"/>
      <c r="E470" s="707"/>
      <c r="F470" s="707"/>
      <c r="G470" s="707"/>
      <c r="H470" s="707"/>
      <c r="I470" s="707"/>
      <c r="J470" s="707"/>
      <c r="K470" s="707"/>
      <c r="L470" s="707"/>
      <c r="M470" s="707"/>
      <c r="N470" s="707"/>
      <c r="O470" s="707"/>
      <c r="P470" s="707"/>
      <c r="Q470" s="707"/>
      <c r="R470" s="707"/>
      <c r="S470" s="707"/>
      <c r="T470" s="707"/>
      <c r="U470" s="707"/>
      <c r="V470" s="707"/>
      <c r="W470" s="707"/>
      <c r="X470" s="707"/>
      <c r="Y470" s="707"/>
      <c r="Z470" s="707"/>
      <c r="AA470" s="36" t="str">
        <f t="shared" si="562"/>
        <v/>
      </c>
      <c r="AB470" s="288" t="str">
        <f t="shared" si="534"/>
        <v/>
      </c>
      <c r="AC470" s="288" t="str">
        <f t="shared" si="535"/>
        <v/>
      </c>
      <c r="AD470" s="288" t="str">
        <f t="shared" si="536"/>
        <v/>
      </c>
      <c r="AE470" s="288" t="str">
        <f t="shared" si="537"/>
        <v/>
      </c>
      <c r="AF470" s="288" t="str">
        <f t="shared" si="538"/>
        <v/>
      </c>
      <c r="AG470" s="288" t="str">
        <f t="shared" si="539"/>
        <v/>
      </c>
      <c r="AH470" s="288" t="str">
        <f t="shared" si="540"/>
        <v/>
      </c>
      <c r="AI470" s="36">
        <f t="shared" si="541"/>
        <v>-1</v>
      </c>
      <c r="AJ470" s="36">
        <f t="shared" si="542"/>
        <v>-1</v>
      </c>
      <c r="AK470" s="36">
        <f t="shared" si="543"/>
        <v>-1</v>
      </c>
      <c r="AL470" s="36"/>
      <c r="AM470" s="36" t="str">
        <f t="shared" si="564"/>
        <v/>
      </c>
      <c r="AN470" s="288" t="str">
        <f t="shared" si="544"/>
        <v/>
      </c>
      <c r="AO470" s="288" t="str">
        <f t="shared" si="545"/>
        <v/>
      </c>
      <c r="AP470" s="288" t="str">
        <f t="shared" si="546"/>
        <v/>
      </c>
      <c r="AQ470" s="36">
        <f t="shared" ref="AQ470:AS470" si="584">AQ469</f>
        <v>3.3793103448275866E-2</v>
      </c>
      <c r="AR470" s="36">
        <f t="shared" si="584"/>
        <v>5.9329425287356324E-2</v>
      </c>
      <c r="AS470" s="36">
        <f t="shared" si="584"/>
        <v>8.4865747126436797E-2</v>
      </c>
      <c r="AT470" s="288">
        <f t="shared" si="548"/>
        <v>0.11040206896551726</v>
      </c>
    </row>
    <row r="471" spans="2:46">
      <c r="B471" s="287"/>
      <c r="C471" s="707"/>
      <c r="D471" s="707"/>
      <c r="E471" s="707"/>
      <c r="F471" s="707"/>
      <c r="G471" s="707"/>
      <c r="H471" s="707"/>
      <c r="I471" s="707"/>
      <c r="J471" s="707"/>
      <c r="K471" s="707"/>
      <c r="L471" s="707"/>
      <c r="M471" s="707"/>
      <c r="N471" s="707"/>
      <c r="O471" s="707"/>
      <c r="P471" s="707"/>
      <c r="Q471" s="707"/>
      <c r="R471" s="707"/>
      <c r="S471" s="707"/>
      <c r="T471" s="707"/>
      <c r="U471" s="707"/>
      <c r="V471" s="707"/>
      <c r="W471" s="707"/>
      <c r="X471" s="707"/>
      <c r="Y471" s="707"/>
      <c r="Z471" s="707"/>
      <c r="AA471" s="36" t="str">
        <f t="shared" si="562"/>
        <v/>
      </c>
      <c r="AB471" s="288" t="str">
        <f t="shared" si="534"/>
        <v/>
      </c>
      <c r="AC471" s="288" t="str">
        <f t="shared" si="535"/>
        <v/>
      </c>
      <c r="AD471" s="288" t="str">
        <f t="shared" si="536"/>
        <v/>
      </c>
      <c r="AE471" s="288" t="str">
        <f t="shared" si="537"/>
        <v/>
      </c>
      <c r="AF471" s="288" t="str">
        <f t="shared" si="538"/>
        <v/>
      </c>
      <c r="AG471" s="288" t="str">
        <f t="shared" si="539"/>
        <v/>
      </c>
      <c r="AH471" s="288" t="str">
        <f t="shared" si="540"/>
        <v/>
      </c>
      <c r="AI471" s="36">
        <f t="shared" si="541"/>
        <v>-1</v>
      </c>
      <c r="AJ471" s="36">
        <f t="shared" si="542"/>
        <v>-1</v>
      </c>
      <c r="AK471" s="36">
        <f t="shared" si="543"/>
        <v>-1</v>
      </c>
      <c r="AL471" s="36"/>
      <c r="AM471" s="36" t="str">
        <f t="shared" si="564"/>
        <v/>
      </c>
      <c r="AN471" s="288" t="str">
        <f t="shared" si="544"/>
        <v/>
      </c>
      <c r="AO471" s="288" t="str">
        <f t="shared" si="545"/>
        <v/>
      </c>
      <c r="AP471" s="288" t="str">
        <f t="shared" si="546"/>
        <v/>
      </c>
      <c r="AQ471" s="36">
        <f t="shared" ref="AQ471:AS471" si="585">AQ470</f>
        <v>3.3793103448275866E-2</v>
      </c>
      <c r="AR471" s="36">
        <f t="shared" si="585"/>
        <v>5.9329425287356324E-2</v>
      </c>
      <c r="AS471" s="36">
        <f t="shared" si="585"/>
        <v>8.4865747126436797E-2</v>
      </c>
      <c r="AT471" s="288">
        <f t="shared" si="548"/>
        <v>0.11040206896551726</v>
      </c>
    </row>
    <row r="472" spans="2:46">
      <c r="B472" s="287"/>
      <c r="C472" s="707"/>
      <c r="D472" s="707"/>
      <c r="E472" s="707"/>
      <c r="F472" s="707"/>
      <c r="G472" s="707"/>
      <c r="H472" s="707"/>
      <c r="I472" s="707"/>
      <c r="J472" s="707"/>
      <c r="K472" s="707"/>
      <c r="L472" s="707"/>
      <c r="M472" s="707"/>
      <c r="N472" s="707"/>
      <c r="O472" s="707"/>
      <c r="P472" s="707"/>
      <c r="Q472" s="707"/>
      <c r="R472" s="707"/>
      <c r="S472" s="707"/>
      <c r="T472" s="707"/>
      <c r="U472" s="707"/>
      <c r="V472" s="707"/>
      <c r="W472" s="707"/>
      <c r="X472" s="707"/>
      <c r="Y472" s="707"/>
      <c r="Z472" s="707"/>
      <c r="AA472" s="36" t="str">
        <f t="shared" si="562"/>
        <v/>
      </c>
      <c r="AB472" s="288" t="str">
        <f t="shared" si="534"/>
        <v/>
      </c>
      <c r="AC472" s="288" t="str">
        <f t="shared" si="535"/>
        <v/>
      </c>
      <c r="AD472" s="288" t="str">
        <f t="shared" si="536"/>
        <v/>
      </c>
      <c r="AE472" s="288" t="str">
        <f t="shared" si="537"/>
        <v/>
      </c>
      <c r="AF472" s="288" t="str">
        <f t="shared" si="538"/>
        <v/>
      </c>
      <c r="AG472" s="288" t="str">
        <f t="shared" si="539"/>
        <v/>
      </c>
      <c r="AH472" s="288" t="str">
        <f t="shared" si="540"/>
        <v/>
      </c>
      <c r="AI472" s="36">
        <f t="shared" si="541"/>
        <v>-1</v>
      </c>
      <c r="AJ472" s="36">
        <f t="shared" si="542"/>
        <v>-1</v>
      </c>
      <c r="AK472" s="36">
        <f t="shared" si="543"/>
        <v>-1</v>
      </c>
      <c r="AL472" s="36"/>
      <c r="AM472" s="36" t="str">
        <f t="shared" si="564"/>
        <v/>
      </c>
      <c r="AN472" s="288" t="str">
        <f t="shared" si="544"/>
        <v/>
      </c>
      <c r="AO472" s="288" t="str">
        <f t="shared" si="545"/>
        <v/>
      </c>
      <c r="AP472" s="288" t="str">
        <f t="shared" si="546"/>
        <v/>
      </c>
      <c r="AQ472" s="36">
        <f t="shared" ref="AQ472:AS472" si="586">AQ471</f>
        <v>3.3793103448275866E-2</v>
      </c>
      <c r="AR472" s="36">
        <f t="shared" si="586"/>
        <v>5.9329425287356324E-2</v>
      </c>
      <c r="AS472" s="36">
        <f t="shared" si="586"/>
        <v>8.4865747126436797E-2</v>
      </c>
      <c r="AT472" s="288">
        <f t="shared" si="548"/>
        <v>0.11040206896551726</v>
      </c>
    </row>
    <row r="473" spans="2:46">
      <c r="B473" s="287"/>
      <c r="C473" s="707"/>
      <c r="D473" s="707"/>
      <c r="E473" s="707"/>
      <c r="F473" s="707"/>
      <c r="G473" s="707"/>
      <c r="H473" s="707"/>
      <c r="I473" s="707"/>
      <c r="J473" s="707"/>
      <c r="K473" s="707"/>
      <c r="L473" s="707"/>
      <c r="M473" s="707"/>
      <c r="N473" s="707"/>
      <c r="O473" s="707"/>
      <c r="P473" s="707"/>
      <c r="Q473" s="707"/>
      <c r="R473" s="707"/>
      <c r="S473" s="707"/>
      <c r="T473" s="707"/>
      <c r="U473" s="707"/>
      <c r="V473" s="707"/>
      <c r="W473" s="707"/>
      <c r="X473" s="707"/>
      <c r="Y473" s="707"/>
      <c r="Z473" s="707"/>
      <c r="AA473" s="36" t="str">
        <f t="shared" si="562"/>
        <v/>
      </c>
      <c r="AB473" s="288" t="str">
        <f t="shared" si="534"/>
        <v/>
      </c>
      <c r="AC473" s="288" t="str">
        <f t="shared" si="535"/>
        <v/>
      </c>
      <c r="AD473" s="288" t="str">
        <f t="shared" si="536"/>
        <v/>
      </c>
      <c r="AE473" s="288" t="str">
        <f t="shared" si="537"/>
        <v/>
      </c>
      <c r="AF473" s="288" t="str">
        <f t="shared" si="538"/>
        <v/>
      </c>
      <c r="AG473" s="288" t="str">
        <f t="shared" si="539"/>
        <v/>
      </c>
      <c r="AH473" s="288" t="str">
        <f t="shared" si="540"/>
        <v/>
      </c>
      <c r="AI473" s="36">
        <f t="shared" si="541"/>
        <v>-1</v>
      </c>
      <c r="AJ473" s="36">
        <f t="shared" si="542"/>
        <v>-1</v>
      </c>
      <c r="AK473" s="36">
        <f t="shared" si="543"/>
        <v>-1</v>
      </c>
      <c r="AL473" s="36"/>
      <c r="AM473" s="36" t="str">
        <f t="shared" si="564"/>
        <v/>
      </c>
      <c r="AN473" s="288" t="str">
        <f t="shared" si="544"/>
        <v/>
      </c>
      <c r="AO473" s="288" t="str">
        <f t="shared" si="545"/>
        <v/>
      </c>
      <c r="AP473" s="288" t="str">
        <f t="shared" si="546"/>
        <v/>
      </c>
      <c r="AQ473" s="36">
        <f t="shared" ref="AQ473:AS473" si="587">AQ472</f>
        <v>3.3793103448275866E-2</v>
      </c>
      <c r="AR473" s="36">
        <f t="shared" si="587"/>
        <v>5.9329425287356324E-2</v>
      </c>
      <c r="AS473" s="36">
        <f t="shared" si="587"/>
        <v>8.4865747126436797E-2</v>
      </c>
      <c r="AT473" s="288">
        <f t="shared" si="548"/>
        <v>0.11040206896551726</v>
      </c>
    </row>
    <row r="474" spans="2:46">
      <c r="B474" s="287"/>
      <c r="C474" s="707"/>
      <c r="D474" s="707"/>
      <c r="E474" s="707"/>
      <c r="F474" s="707"/>
      <c r="G474" s="707"/>
      <c r="H474" s="707"/>
      <c r="I474" s="707"/>
      <c r="J474" s="707"/>
      <c r="K474" s="707"/>
      <c r="L474" s="707"/>
      <c r="M474" s="707"/>
      <c r="N474" s="707"/>
      <c r="O474" s="707"/>
      <c r="P474" s="707"/>
      <c r="Q474" s="707"/>
      <c r="R474" s="707"/>
      <c r="S474" s="707"/>
      <c r="T474" s="707"/>
      <c r="U474" s="707"/>
      <c r="V474" s="707"/>
      <c r="W474" s="707"/>
      <c r="X474" s="707"/>
      <c r="Y474" s="707"/>
      <c r="Z474" s="707"/>
      <c r="AA474" s="36" t="str">
        <f t="shared" si="562"/>
        <v/>
      </c>
      <c r="AB474" s="288" t="str">
        <f t="shared" si="534"/>
        <v/>
      </c>
      <c r="AC474" s="288" t="str">
        <f t="shared" si="535"/>
        <v/>
      </c>
      <c r="AD474" s="288" t="str">
        <f t="shared" si="536"/>
        <v/>
      </c>
      <c r="AE474" s="288" t="str">
        <f t="shared" si="537"/>
        <v/>
      </c>
      <c r="AF474" s="288" t="str">
        <f t="shared" si="538"/>
        <v/>
      </c>
      <c r="AG474" s="288" t="str">
        <f t="shared" si="539"/>
        <v/>
      </c>
      <c r="AH474" s="288" t="str">
        <f t="shared" si="540"/>
        <v/>
      </c>
      <c r="AI474" s="36">
        <f t="shared" si="541"/>
        <v>-1</v>
      </c>
      <c r="AJ474" s="36">
        <f t="shared" si="542"/>
        <v>-1</v>
      </c>
      <c r="AK474" s="36">
        <f t="shared" si="543"/>
        <v>-1</v>
      </c>
      <c r="AL474" s="36"/>
      <c r="AM474" s="36" t="str">
        <f t="shared" si="564"/>
        <v/>
      </c>
      <c r="AN474" s="288" t="str">
        <f t="shared" si="544"/>
        <v/>
      </c>
      <c r="AO474" s="288" t="str">
        <f t="shared" si="545"/>
        <v/>
      </c>
      <c r="AP474" s="288" t="str">
        <f t="shared" si="546"/>
        <v/>
      </c>
      <c r="AQ474" s="36">
        <f t="shared" ref="AQ474:AS474" si="588">AQ473</f>
        <v>3.3793103448275866E-2</v>
      </c>
      <c r="AR474" s="36">
        <f t="shared" si="588"/>
        <v>5.9329425287356324E-2</v>
      </c>
      <c r="AS474" s="36">
        <f t="shared" si="588"/>
        <v>8.4865747126436797E-2</v>
      </c>
      <c r="AT474" s="288">
        <f t="shared" si="548"/>
        <v>0.11040206896551726</v>
      </c>
    </row>
    <row r="475" spans="2:46">
      <c r="B475" s="287"/>
      <c r="C475" s="707"/>
      <c r="D475" s="707"/>
      <c r="E475" s="707"/>
      <c r="F475" s="707"/>
      <c r="G475" s="707"/>
      <c r="H475" s="707"/>
      <c r="I475" s="707"/>
      <c r="J475" s="707"/>
      <c r="K475" s="707"/>
      <c r="L475" s="707"/>
      <c r="M475" s="707"/>
      <c r="N475" s="707"/>
      <c r="O475" s="707"/>
      <c r="P475" s="707"/>
      <c r="Q475" s="707"/>
      <c r="R475" s="707"/>
      <c r="S475" s="707"/>
      <c r="T475" s="707"/>
      <c r="U475" s="707"/>
      <c r="V475" s="707"/>
      <c r="W475" s="707"/>
      <c r="X475" s="707"/>
      <c r="Y475" s="707"/>
      <c r="Z475" s="707"/>
      <c r="AA475" s="36" t="str">
        <f t="shared" si="562"/>
        <v/>
      </c>
      <c r="AB475" s="288" t="str">
        <f t="shared" si="534"/>
        <v/>
      </c>
      <c r="AC475" s="288" t="str">
        <f t="shared" si="535"/>
        <v/>
      </c>
      <c r="AD475" s="288" t="str">
        <f t="shared" si="536"/>
        <v/>
      </c>
      <c r="AE475" s="288" t="str">
        <f t="shared" si="537"/>
        <v/>
      </c>
      <c r="AF475" s="288" t="str">
        <f t="shared" si="538"/>
        <v/>
      </c>
      <c r="AG475" s="288" t="str">
        <f t="shared" si="539"/>
        <v/>
      </c>
      <c r="AH475" s="288" t="str">
        <f t="shared" si="540"/>
        <v/>
      </c>
      <c r="AI475" s="36">
        <f t="shared" si="541"/>
        <v>-1</v>
      </c>
      <c r="AJ475" s="36">
        <f t="shared" si="542"/>
        <v>-1</v>
      </c>
      <c r="AK475" s="36">
        <f t="shared" si="543"/>
        <v>-1</v>
      </c>
      <c r="AL475" s="36"/>
      <c r="AM475" s="36" t="str">
        <f t="shared" si="564"/>
        <v/>
      </c>
      <c r="AN475" s="288" t="str">
        <f t="shared" si="544"/>
        <v/>
      </c>
      <c r="AO475" s="288" t="str">
        <f t="shared" si="545"/>
        <v/>
      </c>
      <c r="AP475" s="288" t="str">
        <f t="shared" si="546"/>
        <v/>
      </c>
      <c r="AQ475" s="36">
        <f t="shared" ref="AQ475:AS475" si="589">AQ474</f>
        <v>3.3793103448275866E-2</v>
      </c>
      <c r="AR475" s="36">
        <f t="shared" si="589"/>
        <v>5.9329425287356324E-2</v>
      </c>
      <c r="AS475" s="36">
        <f t="shared" si="589"/>
        <v>8.4865747126436797E-2</v>
      </c>
      <c r="AT475" s="288">
        <f t="shared" si="548"/>
        <v>0.11040206896551726</v>
      </c>
    </row>
    <row r="476" spans="2:46">
      <c r="B476" s="287"/>
      <c r="C476" s="707"/>
      <c r="D476" s="707"/>
      <c r="E476" s="707"/>
      <c r="F476" s="707"/>
      <c r="G476" s="707"/>
      <c r="H476" s="707"/>
      <c r="I476" s="707"/>
      <c r="J476" s="707"/>
      <c r="K476" s="707"/>
      <c r="L476" s="707"/>
      <c r="M476" s="707"/>
      <c r="N476" s="707"/>
      <c r="O476" s="707"/>
      <c r="P476" s="707"/>
      <c r="Q476" s="707"/>
      <c r="R476" s="707"/>
      <c r="S476" s="707"/>
      <c r="T476" s="707"/>
      <c r="U476" s="707"/>
      <c r="V476" s="707"/>
      <c r="W476" s="707"/>
      <c r="X476" s="707"/>
      <c r="Y476" s="707"/>
      <c r="Z476" s="707"/>
      <c r="AA476" s="36" t="str">
        <f t="shared" si="562"/>
        <v/>
      </c>
      <c r="AB476" s="288" t="str">
        <f t="shared" si="534"/>
        <v/>
      </c>
      <c r="AC476" s="288" t="str">
        <f t="shared" si="535"/>
        <v/>
      </c>
      <c r="AD476" s="288" t="str">
        <f t="shared" si="536"/>
        <v/>
      </c>
      <c r="AE476" s="288" t="str">
        <f t="shared" si="537"/>
        <v/>
      </c>
      <c r="AF476" s="288" t="str">
        <f t="shared" si="538"/>
        <v/>
      </c>
      <c r="AG476" s="288" t="str">
        <f t="shared" si="539"/>
        <v/>
      </c>
      <c r="AH476" s="288" t="str">
        <f t="shared" si="540"/>
        <v/>
      </c>
      <c r="AI476" s="36">
        <f t="shared" si="541"/>
        <v>-1</v>
      </c>
      <c r="AJ476" s="36">
        <f t="shared" si="542"/>
        <v>-1</v>
      </c>
      <c r="AK476" s="36">
        <f t="shared" si="543"/>
        <v>-1</v>
      </c>
      <c r="AL476" s="36"/>
      <c r="AM476" s="36" t="str">
        <f t="shared" si="564"/>
        <v/>
      </c>
      <c r="AN476" s="288" t="str">
        <f t="shared" si="544"/>
        <v/>
      </c>
      <c r="AO476" s="288" t="str">
        <f t="shared" si="545"/>
        <v/>
      </c>
      <c r="AP476" s="288" t="str">
        <f t="shared" si="546"/>
        <v/>
      </c>
      <c r="AQ476" s="36">
        <f t="shared" ref="AQ476:AS476" si="590">AQ475</f>
        <v>3.3793103448275866E-2</v>
      </c>
      <c r="AR476" s="36">
        <f t="shared" si="590"/>
        <v>5.9329425287356324E-2</v>
      </c>
      <c r="AS476" s="36">
        <f t="shared" si="590"/>
        <v>8.4865747126436797E-2</v>
      </c>
      <c r="AT476" s="288">
        <f t="shared" si="548"/>
        <v>0.11040206896551726</v>
      </c>
    </row>
    <row r="477" spans="2:46">
      <c r="B477" s="287"/>
      <c r="C477" s="707"/>
      <c r="D477" s="707"/>
      <c r="E477" s="707"/>
      <c r="F477" s="707"/>
      <c r="G477" s="707"/>
      <c r="H477" s="707"/>
      <c r="I477" s="707"/>
      <c r="J477" s="707"/>
      <c r="K477" s="707"/>
      <c r="L477" s="707"/>
      <c r="M477" s="707"/>
      <c r="N477" s="707"/>
      <c r="O477" s="707"/>
      <c r="P477" s="707"/>
      <c r="Q477" s="707"/>
      <c r="R477" s="707"/>
      <c r="S477" s="707"/>
      <c r="T477" s="707"/>
      <c r="U477" s="707"/>
      <c r="V477" s="707"/>
      <c r="W477" s="707"/>
      <c r="X477" s="707"/>
      <c r="Y477" s="707"/>
      <c r="Z477" s="707"/>
      <c r="AA477" s="36" t="str">
        <f t="shared" si="562"/>
        <v/>
      </c>
      <c r="AB477" s="288" t="str">
        <f t="shared" si="534"/>
        <v/>
      </c>
      <c r="AC477" s="288" t="str">
        <f t="shared" si="535"/>
        <v/>
      </c>
      <c r="AD477" s="288" t="str">
        <f t="shared" si="536"/>
        <v/>
      </c>
      <c r="AE477" s="288" t="str">
        <f t="shared" si="537"/>
        <v/>
      </c>
      <c r="AF477" s="288" t="str">
        <f t="shared" si="538"/>
        <v/>
      </c>
      <c r="AG477" s="288" t="str">
        <f t="shared" si="539"/>
        <v/>
      </c>
      <c r="AH477" s="288" t="str">
        <f t="shared" si="540"/>
        <v/>
      </c>
      <c r="AI477" s="36">
        <f t="shared" si="541"/>
        <v>-1</v>
      </c>
      <c r="AJ477" s="36">
        <f t="shared" si="542"/>
        <v>-1</v>
      </c>
      <c r="AK477" s="36">
        <f t="shared" si="543"/>
        <v>-1</v>
      </c>
      <c r="AL477" s="36"/>
      <c r="AM477" s="36" t="str">
        <f t="shared" si="564"/>
        <v/>
      </c>
      <c r="AN477" s="288" t="str">
        <f t="shared" si="544"/>
        <v/>
      </c>
      <c r="AO477" s="288" t="str">
        <f t="shared" si="545"/>
        <v/>
      </c>
      <c r="AP477" s="288" t="str">
        <f t="shared" si="546"/>
        <v/>
      </c>
      <c r="AQ477" s="36">
        <f t="shared" ref="AQ477:AS477" si="591">AQ476</f>
        <v>3.3793103448275866E-2</v>
      </c>
      <c r="AR477" s="36">
        <f t="shared" si="591"/>
        <v>5.9329425287356324E-2</v>
      </c>
      <c r="AS477" s="36">
        <f t="shared" si="591"/>
        <v>8.4865747126436797E-2</v>
      </c>
      <c r="AT477" s="288">
        <f t="shared" si="548"/>
        <v>0.11040206896551726</v>
      </c>
    </row>
    <row r="478" spans="2:46">
      <c r="B478" s="287"/>
      <c r="C478" s="707"/>
      <c r="D478" s="707"/>
      <c r="E478" s="707"/>
      <c r="F478" s="707"/>
      <c r="G478" s="707"/>
      <c r="H478" s="707"/>
      <c r="I478" s="707"/>
      <c r="J478" s="707"/>
      <c r="K478" s="707"/>
      <c r="L478" s="707"/>
      <c r="M478" s="707"/>
      <c r="N478" s="707"/>
      <c r="O478" s="707"/>
      <c r="P478" s="707"/>
      <c r="Q478" s="707"/>
      <c r="R478" s="707"/>
      <c r="S478" s="707"/>
      <c r="T478" s="707"/>
      <c r="U478" s="707"/>
      <c r="V478" s="707"/>
      <c r="W478" s="707"/>
      <c r="X478" s="707"/>
      <c r="Y478" s="707"/>
      <c r="Z478" s="707"/>
      <c r="AA478" s="36" t="str">
        <f t="shared" si="562"/>
        <v/>
      </c>
      <c r="AB478" s="288" t="str">
        <f t="shared" si="534"/>
        <v/>
      </c>
      <c r="AC478" s="288" t="str">
        <f t="shared" si="535"/>
        <v/>
      </c>
      <c r="AD478" s="288" t="str">
        <f t="shared" si="536"/>
        <v/>
      </c>
      <c r="AE478" s="288" t="str">
        <f t="shared" si="537"/>
        <v/>
      </c>
      <c r="AF478" s="288" t="str">
        <f t="shared" si="538"/>
        <v/>
      </c>
      <c r="AG478" s="288" t="str">
        <f t="shared" si="539"/>
        <v/>
      </c>
      <c r="AH478" s="288" t="str">
        <f t="shared" si="540"/>
        <v/>
      </c>
      <c r="AI478" s="36">
        <f t="shared" si="541"/>
        <v>-1</v>
      </c>
      <c r="AJ478" s="36">
        <f t="shared" si="542"/>
        <v>-1</v>
      </c>
      <c r="AK478" s="36">
        <f t="shared" si="543"/>
        <v>-1</v>
      </c>
      <c r="AL478" s="36"/>
      <c r="AM478" s="36" t="str">
        <f t="shared" si="564"/>
        <v/>
      </c>
      <c r="AN478" s="288" t="str">
        <f t="shared" si="544"/>
        <v/>
      </c>
      <c r="AO478" s="288" t="str">
        <f t="shared" si="545"/>
        <v/>
      </c>
      <c r="AP478" s="288" t="str">
        <f t="shared" si="546"/>
        <v/>
      </c>
      <c r="AQ478" s="36">
        <f t="shared" ref="AQ478:AS478" si="592">AQ477</f>
        <v>3.3793103448275866E-2</v>
      </c>
      <c r="AR478" s="36">
        <f t="shared" si="592"/>
        <v>5.9329425287356324E-2</v>
      </c>
      <c r="AS478" s="36">
        <f t="shared" si="592"/>
        <v>8.4865747126436797E-2</v>
      </c>
      <c r="AT478" s="288">
        <f t="shared" si="548"/>
        <v>0.11040206896551726</v>
      </c>
    </row>
    <row r="479" spans="2:46">
      <c r="B479" s="287"/>
      <c r="C479" s="707"/>
      <c r="D479" s="707"/>
      <c r="E479" s="707"/>
      <c r="F479" s="707"/>
      <c r="G479" s="707"/>
      <c r="H479" s="707"/>
      <c r="I479" s="707"/>
      <c r="J479" s="707"/>
      <c r="K479" s="707"/>
      <c r="L479" s="707"/>
      <c r="M479" s="707"/>
      <c r="N479" s="707"/>
      <c r="O479" s="707"/>
      <c r="P479" s="707"/>
      <c r="Q479" s="707"/>
      <c r="R479" s="707"/>
      <c r="S479" s="707"/>
      <c r="T479" s="707"/>
      <c r="U479" s="707"/>
      <c r="V479" s="707"/>
      <c r="W479" s="707"/>
      <c r="X479" s="707"/>
      <c r="Y479" s="707"/>
      <c r="Z479" s="707"/>
      <c r="AA479" s="36" t="str">
        <f t="shared" si="562"/>
        <v/>
      </c>
      <c r="AB479" s="288" t="str">
        <f t="shared" si="534"/>
        <v/>
      </c>
      <c r="AC479" s="288" t="str">
        <f t="shared" si="535"/>
        <v/>
      </c>
      <c r="AD479" s="288" t="str">
        <f t="shared" si="536"/>
        <v/>
      </c>
      <c r="AE479" s="288" t="str">
        <f t="shared" si="537"/>
        <v/>
      </c>
      <c r="AF479" s="288" t="str">
        <f t="shared" si="538"/>
        <v/>
      </c>
      <c r="AG479" s="288" t="str">
        <f t="shared" si="539"/>
        <v/>
      </c>
      <c r="AH479" s="288" t="str">
        <f t="shared" si="540"/>
        <v/>
      </c>
      <c r="AI479" s="36">
        <f t="shared" si="541"/>
        <v>-1</v>
      </c>
      <c r="AJ479" s="36">
        <f t="shared" si="542"/>
        <v>-1</v>
      </c>
      <c r="AK479" s="36">
        <f t="shared" si="543"/>
        <v>-1</v>
      </c>
      <c r="AL479" s="36"/>
      <c r="AM479" s="36" t="str">
        <f t="shared" si="564"/>
        <v/>
      </c>
      <c r="AN479" s="288" t="str">
        <f t="shared" si="544"/>
        <v/>
      </c>
      <c r="AO479" s="288" t="str">
        <f t="shared" si="545"/>
        <v/>
      </c>
      <c r="AP479" s="288" t="str">
        <f t="shared" si="546"/>
        <v/>
      </c>
      <c r="AQ479" s="36">
        <f t="shared" ref="AQ479:AS479" si="593">AQ478</f>
        <v>3.3793103448275866E-2</v>
      </c>
      <c r="AR479" s="36">
        <f t="shared" si="593"/>
        <v>5.9329425287356324E-2</v>
      </c>
      <c r="AS479" s="36">
        <f t="shared" si="593"/>
        <v>8.4865747126436797E-2</v>
      </c>
      <c r="AT479" s="288">
        <f t="shared" si="548"/>
        <v>0.11040206896551726</v>
      </c>
    </row>
    <row r="480" spans="2:46">
      <c r="B480" s="287"/>
      <c r="C480" s="707"/>
      <c r="D480" s="707"/>
      <c r="E480" s="707"/>
      <c r="F480" s="707"/>
      <c r="G480" s="707"/>
      <c r="H480" s="707"/>
      <c r="I480" s="707"/>
      <c r="J480" s="707"/>
      <c r="K480" s="707"/>
      <c r="L480" s="707"/>
      <c r="M480" s="707"/>
      <c r="N480" s="707"/>
      <c r="O480" s="707"/>
      <c r="P480" s="707"/>
      <c r="Q480" s="707"/>
      <c r="R480" s="707"/>
      <c r="S480" s="707"/>
      <c r="T480" s="707"/>
      <c r="U480" s="707"/>
      <c r="V480" s="707"/>
      <c r="W480" s="707"/>
      <c r="X480" s="707"/>
      <c r="Y480" s="707"/>
      <c r="Z480" s="707"/>
      <c r="AA480" s="36" t="str">
        <f t="shared" si="562"/>
        <v/>
      </c>
      <c r="AB480" s="288" t="str">
        <f t="shared" si="534"/>
        <v/>
      </c>
      <c r="AC480" s="288" t="str">
        <f t="shared" si="535"/>
        <v/>
      </c>
      <c r="AD480" s="288" t="str">
        <f t="shared" si="536"/>
        <v/>
      </c>
      <c r="AE480" s="288" t="str">
        <f t="shared" si="537"/>
        <v/>
      </c>
      <c r="AF480" s="288" t="str">
        <f t="shared" si="538"/>
        <v/>
      </c>
      <c r="AG480" s="288" t="str">
        <f t="shared" si="539"/>
        <v/>
      </c>
      <c r="AH480" s="288" t="str">
        <f t="shared" si="540"/>
        <v/>
      </c>
      <c r="AI480" s="36">
        <f t="shared" si="541"/>
        <v>-1</v>
      </c>
      <c r="AJ480" s="36">
        <f t="shared" si="542"/>
        <v>-1</v>
      </c>
      <c r="AK480" s="36">
        <f t="shared" si="543"/>
        <v>-1</v>
      </c>
      <c r="AL480" s="36"/>
      <c r="AM480" s="36" t="str">
        <f t="shared" si="564"/>
        <v/>
      </c>
      <c r="AN480" s="288" t="str">
        <f t="shared" si="544"/>
        <v/>
      </c>
      <c r="AO480" s="288" t="str">
        <f t="shared" si="545"/>
        <v/>
      </c>
      <c r="AP480" s="288" t="str">
        <f t="shared" si="546"/>
        <v/>
      </c>
      <c r="AQ480" s="36">
        <f t="shared" ref="AQ480:AS480" si="594">AQ479</f>
        <v>3.3793103448275866E-2</v>
      </c>
      <c r="AR480" s="36">
        <f t="shared" si="594"/>
        <v>5.9329425287356324E-2</v>
      </c>
      <c r="AS480" s="36">
        <f t="shared" si="594"/>
        <v>8.4865747126436797E-2</v>
      </c>
      <c r="AT480" s="288">
        <f t="shared" si="548"/>
        <v>0.11040206896551726</v>
      </c>
    </row>
    <row r="481" spans="2:46">
      <c r="B481" s="287"/>
      <c r="C481" s="707"/>
      <c r="D481" s="707"/>
      <c r="E481" s="707"/>
      <c r="F481" s="707"/>
      <c r="G481" s="707"/>
      <c r="H481" s="707"/>
      <c r="I481" s="707"/>
      <c r="J481" s="707"/>
      <c r="K481" s="707"/>
      <c r="L481" s="707"/>
      <c r="M481" s="707"/>
      <c r="N481" s="707"/>
      <c r="O481" s="707"/>
      <c r="P481" s="707"/>
      <c r="Q481" s="707"/>
      <c r="R481" s="707"/>
      <c r="S481" s="707"/>
      <c r="T481" s="707"/>
      <c r="U481" s="707"/>
      <c r="V481" s="707"/>
      <c r="W481" s="707"/>
      <c r="X481" s="707"/>
      <c r="Y481" s="707"/>
      <c r="Z481" s="707"/>
      <c r="AA481" s="36" t="str">
        <f t="shared" si="562"/>
        <v/>
      </c>
      <c r="AB481" s="288" t="str">
        <f t="shared" si="534"/>
        <v/>
      </c>
      <c r="AC481" s="288" t="str">
        <f t="shared" si="535"/>
        <v/>
      </c>
      <c r="AD481" s="288" t="str">
        <f t="shared" si="536"/>
        <v/>
      </c>
      <c r="AE481" s="288" t="str">
        <f t="shared" si="537"/>
        <v/>
      </c>
      <c r="AF481" s="288" t="str">
        <f t="shared" si="538"/>
        <v/>
      </c>
      <c r="AG481" s="288" t="str">
        <f t="shared" si="539"/>
        <v/>
      </c>
      <c r="AH481" s="288" t="str">
        <f t="shared" si="540"/>
        <v/>
      </c>
      <c r="AI481" s="36">
        <f t="shared" si="541"/>
        <v>-1</v>
      </c>
      <c r="AJ481" s="36">
        <f t="shared" si="542"/>
        <v>-1</v>
      </c>
      <c r="AK481" s="36">
        <f t="shared" si="543"/>
        <v>-1</v>
      </c>
      <c r="AL481" s="36"/>
      <c r="AM481" s="36" t="str">
        <f t="shared" si="564"/>
        <v/>
      </c>
      <c r="AN481" s="288" t="str">
        <f t="shared" si="544"/>
        <v/>
      </c>
      <c r="AO481" s="288" t="str">
        <f t="shared" si="545"/>
        <v/>
      </c>
      <c r="AP481" s="288" t="str">
        <f t="shared" si="546"/>
        <v/>
      </c>
      <c r="AQ481" s="36">
        <f t="shared" ref="AQ481:AS481" si="595">AQ480</f>
        <v>3.3793103448275866E-2</v>
      </c>
      <c r="AR481" s="36">
        <f t="shared" si="595"/>
        <v>5.9329425287356324E-2</v>
      </c>
      <c r="AS481" s="36">
        <f t="shared" si="595"/>
        <v>8.4865747126436797E-2</v>
      </c>
      <c r="AT481" s="288">
        <f t="shared" si="548"/>
        <v>0.11040206896551726</v>
      </c>
    </row>
    <row r="482" spans="2:46">
      <c r="B482" s="287"/>
      <c r="C482" s="707"/>
      <c r="D482" s="707"/>
      <c r="E482" s="707"/>
      <c r="F482" s="707"/>
      <c r="G482" s="707"/>
      <c r="H482" s="707"/>
      <c r="I482" s="707"/>
      <c r="J482" s="707"/>
      <c r="K482" s="707"/>
      <c r="L482" s="707"/>
      <c r="M482" s="707"/>
      <c r="N482" s="707"/>
      <c r="O482" s="707"/>
      <c r="P482" s="707"/>
      <c r="Q482" s="707"/>
      <c r="R482" s="707"/>
      <c r="S482" s="707"/>
      <c r="T482" s="707"/>
      <c r="U482" s="707"/>
      <c r="V482" s="707"/>
      <c r="W482" s="707"/>
      <c r="X482" s="707"/>
      <c r="Y482" s="707"/>
      <c r="Z482" s="707"/>
      <c r="AA482" s="36" t="str">
        <f t="shared" si="562"/>
        <v/>
      </c>
      <c r="AB482" s="288" t="str">
        <f t="shared" si="534"/>
        <v/>
      </c>
      <c r="AC482" s="288" t="str">
        <f t="shared" si="535"/>
        <v/>
      </c>
      <c r="AD482" s="288" t="str">
        <f t="shared" si="536"/>
        <v/>
      </c>
      <c r="AE482" s="288" t="str">
        <f t="shared" si="537"/>
        <v/>
      </c>
      <c r="AF482" s="288" t="str">
        <f t="shared" si="538"/>
        <v/>
      </c>
      <c r="AG482" s="288" t="str">
        <f t="shared" si="539"/>
        <v/>
      </c>
      <c r="AH482" s="288" t="str">
        <f t="shared" si="540"/>
        <v/>
      </c>
      <c r="AI482" s="36">
        <f t="shared" si="541"/>
        <v>-1</v>
      </c>
      <c r="AJ482" s="36">
        <f t="shared" si="542"/>
        <v>-1</v>
      </c>
      <c r="AK482" s="36">
        <f t="shared" si="543"/>
        <v>-1</v>
      </c>
      <c r="AL482" s="36"/>
      <c r="AM482" s="36" t="str">
        <f t="shared" si="564"/>
        <v/>
      </c>
      <c r="AN482" s="288" t="str">
        <f t="shared" si="544"/>
        <v/>
      </c>
      <c r="AO482" s="288" t="str">
        <f t="shared" si="545"/>
        <v/>
      </c>
      <c r="AP482" s="288" t="str">
        <f t="shared" si="546"/>
        <v/>
      </c>
      <c r="AQ482" s="36">
        <f t="shared" ref="AQ482:AS482" si="596">AQ481</f>
        <v>3.3793103448275866E-2</v>
      </c>
      <c r="AR482" s="36">
        <f t="shared" si="596"/>
        <v>5.9329425287356324E-2</v>
      </c>
      <c r="AS482" s="36">
        <f t="shared" si="596"/>
        <v>8.4865747126436797E-2</v>
      </c>
      <c r="AT482" s="288">
        <f t="shared" si="548"/>
        <v>0.11040206896551726</v>
      </c>
    </row>
    <row r="483" spans="2:46">
      <c r="B483" s="287"/>
      <c r="C483" s="707"/>
      <c r="D483" s="707"/>
      <c r="E483" s="707"/>
      <c r="F483" s="707"/>
      <c r="G483" s="707"/>
      <c r="H483" s="707"/>
      <c r="I483" s="707"/>
      <c r="J483" s="707"/>
      <c r="K483" s="707"/>
      <c r="L483" s="707"/>
      <c r="M483" s="707"/>
      <c r="N483" s="707"/>
      <c r="O483" s="707"/>
      <c r="P483" s="707"/>
      <c r="Q483" s="707"/>
      <c r="R483" s="707"/>
      <c r="S483" s="707"/>
      <c r="T483" s="707"/>
      <c r="U483" s="707"/>
      <c r="V483" s="707"/>
      <c r="W483" s="707"/>
      <c r="X483" s="707"/>
      <c r="Y483" s="707"/>
      <c r="Z483" s="707"/>
      <c r="AA483" s="36" t="str">
        <f t="shared" si="562"/>
        <v/>
      </c>
      <c r="AB483" s="288" t="str">
        <f t="shared" si="534"/>
        <v/>
      </c>
      <c r="AC483" s="288" t="str">
        <f t="shared" si="535"/>
        <v/>
      </c>
      <c r="AD483" s="288" t="str">
        <f t="shared" si="536"/>
        <v/>
      </c>
      <c r="AE483" s="288" t="str">
        <f t="shared" si="537"/>
        <v/>
      </c>
      <c r="AF483" s="288" t="str">
        <f t="shared" si="538"/>
        <v/>
      </c>
      <c r="AG483" s="288" t="str">
        <f t="shared" si="539"/>
        <v/>
      </c>
      <c r="AH483" s="288" t="str">
        <f t="shared" si="540"/>
        <v/>
      </c>
      <c r="AI483" s="36">
        <f t="shared" si="541"/>
        <v>-1</v>
      </c>
      <c r="AJ483" s="36">
        <f t="shared" si="542"/>
        <v>-1</v>
      </c>
      <c r="AK483" s="36">
        <f t="shared" si="543"/>
        <v>-1</v>
      </c>
      <c r="AL483" s="36"/>
      <c r="AM483" s="36" t="str">
        <f t="shared" si="564"/>
        <v/>
      </c>
      <c r="AN483" s="288" t="str">
        <f t="shared" si="544"/>
        <v/>
      </c>
      <c r="AO483" s="288" t="str">
        <f t="shared" si="545"/>
        <v/>
      </c>
      <c r="AP483" s="288" t="str">
        <f t="shared" si="546"/>
        <v/>
      </c>
      <c r="AQ483" s="36">
        <f t="shared" ref="AQ483:AS483" si="597">AQ482</f>
        <v>3.3793103448275866E-2</v>
      </c>
      <c r="AR483" s="36">
        <f t="shared" si="597"/>
        <v>5.9329425287356324E-2</v>
      </c>
      <c r="AS483" s="36">
        <f t="shared" si="597"/>
        <v>8.4865747126436797E-2</v>
      </c>
      <c r="AT483" s="288">
        <f t="shared" si="548"/>
        <v>0.11040206896551726</v>
      </c>
    </row>
    <row r="484" spans="2:46">
      <c r="B484" s="287"/>
      <c r="C484" s="707"/>
      <c r="D484" s="707"/>
      <c r="E484" s="707"/>
      <c r="F484" s="707"/>
      <c r="G484" s="707"/>
      <c r="H484" s="707"/>
      <c r="I484" s="707"/>
      <c r="J484" s="707"/>
      <c r="K484" s="707"/>
      <c r="L484" s="707"/>
      <c r="M484" s="707"/>
      <c r="N484" s="707"/>
      <c r="O484" s="707"/>
      <c r="P484" s="707"/>
      <c r="Q484" s="707"/>
      <c r="R484" s="707"/>
      <c r="S484" s="707"/>
      <c r="T484" s="707"/>
      <c r="U484" s="707"/>
      <c r="V484" s="707"/>
      <c r="W484" s="707"/>
      <c r="X484" s="707"/>
      <c r="Y484" s="707"/>
      <c r="Z484" s="707"/>
      <c r="AA484" s="36" t="str">
        <f t="shared" si="562"/>
        <v/>
      </c>
      <c r="AB484" s="288" t="str">
        <f t="shared" si="534"/>
        <v/>
      </c>
      <c r="AC484" s="288" t="str">
        <f t="shared" si="535"/>
        <v/>
      </c>
      <c r="AD484" s="288" t="str">
        <f t="shared" si="536"/>
        <v/>
      </c>
      <c r="AE484" s="288" t="str">
        <f t="shared" si="537"/>
        <v/>
      </c>
      <c r="AF484" s="288" t="str">
        <f t="shared" si="538"/>
        <v/>
      </c>
      <c r="AG484" s="288" t="str">
        <f t="shared" si="539"/>
        <v/>
      </c>
      <c r="AH484" s="288" t="str">
        <f t="shared" si="540"/>
        <v/>
      </c>
      <c r="AI484" s="36">
        <f t="shared" si="541"/>
        <v>-1</v>
      </c>
      <c r="AJ484" s="36">
        <f t="shared" si="542"/>
        <v>-1</v>
      </c>
      <c r="AK484" s="36">
        <f t="shared" si="543"/>
        <v>-1</v>
      </c>
      <c r="AL484" s="36"/>
      <c r="AM484" s="36" t="str">
        <f t="shared" si="564"/>
        <v/>
      </c>
      <c r="AN484" s="288" t="str">
        <f t="shared" si="544"/>
        <v/>
      </c>
      <c r="AO484" s="288" t="str">
        <f t="shared" si="545"/>
        <v/>
      </c>
      <c r="AP484" s="288" t="str">
        <f t="shared" si="546"/>
        <v/>
      </c>
      <c r="AQ484" s="36">
        <f t="shared" ref="AQ484:AS484" si="598">AQ483</f>
        <v>3.3793103448275866E-2</v>
      </c>
      <c r="AR484" s="36">
        <f t="shared" si="598"/>
        <v>5.9329425287356324E-2</v>
      </c>
      <c r="AS484" s="36">
        <f t="shared" si="598"/>
        <v>8.4865747126436797E-2</v>
      </c>
      <c r="AT484" s="288">
        <f t="shared" si="548"/>
        <v>0.11040206896551726</v>
      </c>
    </row>
    <row r="485" spans="2:46">
      <c r="B485" s="287"/>
      <c r="C485" s="707"/>
      <c r="D485" s="707"/>
      <c r="E485" s="707"/>
      <c r="F485" s="707"/>
      <c r="G485" s="707"/>
      <c r="H485" s="707"/>
      <c r="I485" s="707"/>
      <c r="J485" s="707"/>
      <c r="K485" s="707"/>
      <c r="L485" s="707"/>
      <c r="M485" s="707"/>
      <c r="N485" s="707"/>
      <c r="O485" s="707"/>
      <c r="P485" s="707"/>
      <c r="Q485" s="707"/>
      <c r="R485" s="707"/>
      <c r="S485" s="707"/>
      <c r="T485" s="707"/>
      <c r="U485" s="707"/>
      <c r="V485" s="707"/>
      <c r="W485" s="707"/>
      <c r="X485" s="707"/>
      <c r="Y485" s="707"/>
      <c r="Z485" s="707"/>
      <c r="AA485" s="36" t="str">
        <f t="shared" si="562"/>
        <v/>
      </c>
      <c r="AB485" s="288" t="str">
        <f t="shared" si="534"/>
        <v/>
      </c>
      <c r="AC485" s="288" t="str">
        <f t="shared" si="535"/>
        <v/>
      </c>
      <c r="AD485" s="288" t="str">
        <f t="shared" si="536"/>
        <v/>
      </c>
      <c r="AE485" s="288" t="str">
        <f t="shared" si="537"/>
        <v/>
      </c>
      <c r="AF485" s="288" t="str">
        <f t="shared" si="538"/>
        <v/>
      </c>
      <c r="AG485" s="288" t="str">
        <f t="shared" si="539"/>
        <v/>
      </c>
      <c r="AH485" s="288" t="str">
        <f t="shared" si="540"/>
        <v/>
      </c>
      <c r="AI485" s="36">
        <f t="shared" si="541"/>
        <v>-1</v>
      </c>
      <c r="AJ485" s="36">
        <f t="shared" si="542"/>
        <v>-1</v>
      </c>
      <c r="AK485" s="36">
        <f t="shared" si="543"/>
        <v>-1</v>
      </c>
      <c r="AL485" s="36"/>
      <c r="AM485" s="36" t="str">
        <f t="shared" si="564"/>
        <v/>
      </c>
      <c r="AN485" s="288" t="str">
        <f t="shared" si="544"/>
        <v/>
      </c>
      <c r="AO485" s="288" t="str">
        <f t="shared" si="545"/>
        <v/>
      </c>
      <c r="AP485" s="288" t="str">
        <f t="shared" si="546"/>
        <v/>
      </c>
      <c r="AQ485" s="36">
        <f t="shared" ref="AQ485:AS485" si="599">AQ484</f>
        <v>3.3793103448275866E-2</v>
      </c>
      <c r="AR485" s="36">
        <f t="shared" si="599"/>
        <v>5.9329425287356324E-2</v>
      </c>
      <c r="AS485" s="36">
        <f t="shared" si="599"/>
        <v>8.4865747126436797E-2</v>
      </c>
      <c r="AT485" s="288">
        <f t="shared" si="548"/>
        <v>0.11040206896551726</v>
      </c>
    </row>
    <row r="486" spans="2:46">
      <c r="B486" s="287"/>
      <c r="C486" s="707"/>
      <c r="D486" s="707"/>
      <c r="E486" s="707"/>
      <c r="F486" s="707"/>
      <c r="G486" s="707"/>
      <c r="H486" s="707"/>
      <c r="I486" s="707"/>
      <c r="J486" s="707"/>
      <c r="K486" s="707"/>
      <c r="L486" s="707"/>
      <c r="M486" s="707"/>
      <c r="N486" s="707"/>
      <c r="O486" s="707"/>
      <c r="P486" s="707"/>
      <c r="Q486" s="707"/>
      <c r="R486" s="707"/>
      <c r="S486" s="707"/>
      <c r="T486" s="707"/>
      <c r="U486" s="707"/>
      <c r="V486" s="707"/>
      <c r="W486" s="707"/>
      <c r="X486" s="707"/>
      <c r="Y486" s="707"/>
      <c r="Z486" s="707"/>
      <c r="AA486" s="36" t="str">
        <f t="shared" si="562"/>
        <v/>
      </c>
      <c r="AB486" s="288" t="str">
        <f t="shared" si="534"/>
        <v/>
      </c>
      <c r="AC486" s="288" t="str">
        <f t="shared" si="535"/>
        <v/>
      </c>
      <c r="AD486" s="288" t="str">
        <f t="shared" si="536"/>
        <v/>
      </c>
      <c r="AE486" s="288" t="str">
        <f t="shared" si="537"/>
        <v/>
      </c>
      <c r="AF486" s="288" t="str">
        <f t="shared" si="538"/>
        <v/>
      </c>
      <c r="AG486" s="288" t="str">
        <f t="shared" si="539"/>
        <v/>
      </c>
      <c r="AH486" s="288" t="str">
        <f t="shared" si="540"/>
        <v/>
      </c>
      <c r="AI486" s="36">
        <f t="shared" si="541"/>
        <v>-1</v>
      </c>
      <c r="AJ486" s="36">
        <f t="shared" si="542"/>
        <v>-1</v>
      </c>
      <c r="AK486" s="36">
        <f t="shared" si="543"/>
        <v>-1</v>
      </c>
      <c r="AL486" s="36"/>
      <c r="AM486" s="36" t="str">
        <f t="shared" si="564"/>
        <v/>
      </c>
      <c r="AN486" s="288" t="str">
        <f t="shared" si="544"/>
        <v/>
      </c>
      <c r="AO486" s="288" t="str">
        <f t="shared" si="545"/>
        <v/>
      </c>
      <c r="AP486" s="288" t="str">
        <f t="shared" si="546"/>
        <v/>
      </c>
      <c r="AQ486" s="36">
        <f t="shared" ref="AQ486:AS486" si="600">AQ485</f>
        <v>3.3793103448275866E-2</v>
      </c>
      <c r="AR486" s="36">
        <f t="shared" si="600"/>
        <v>5.9329425287356324E-2</v>
      </c>
      <c r="AS486" s="36">
        <f t="shared" si="600"/>
        <v>8.4865747126436797E-2</v>
      </c>
      <c r="AT486" s="288">
        <f t="shared" si="548"/>
        <v>0.11040206896551726</v>
      </c>
    </row>
    <row r="487" spans="2:46">
      <c r="B487" s="287"/>
      <c r="C487" s="707"/>
      <c r="D487" s="707"/>
      <c r="E487" s="707"/>
      <c r="F487" s="707"/>
      <c r="G487" s="707"/>
      <c r="H487" s="707"/>
      <c r="I487" s="707"/>
      <c r="J487" s="707"/>
      <c r="K487" s="707"/>
      <c r="L487" s="707"/>
      <c r="M487" s="707"/>
      <c r="N487" s="707"/>
      <c r="O487" s="707"/>
      <c r="P487" s="707"/>
      <c r="Q487" s="707"/>
      <c r="R487" s="707"/>
      <c r="S487" s="707"/>
      <c r="T487" s="707"/>
      <c r="U487" s="707"/>
      <c r="V487" s="707"/>
      <c r="W487" s="707"/>
      <c r="X487" s="707"/>
      <c r="Y487" s="707"/>
      <c r="Z487" s="707"/>
      <c r="AA487" s="36" t="str">
        <f t="shared" si="562"/>
        <v/>
      </c>
      <c r="AB487" s="288" t="str">
        <f t="shared" si="534"/>
        <v/>
      </c>
      <c r="AC487" s="288" t="str">
        <f t="shared" si="535"/>
        <v/>
      </c>
      <c r="AD487" s="288" t="str">
        <f t="shared" si="536"/>
        <v/>
      </c>
      <c r="AE487" s="288" t="str">
        <f t="shared" si="537"/>
        <v/>
      </c>
      <c r="AF487" s="288" t="str">
        <f t="shared" si="538"/>
        <v/>
      </c>
      <c r="AG487" s="288" t="str">
        <f t="shared" si="539"/>
        <v/>
      </c>
      <c r="AH487" s="288" t="str">
        <f t="shared" si="540"/>
        <v/>
      </c>
      <c r="AI487" s="36">
        <f t="shared" si="541"/>
        <v>-1</v>
      </c>
      <c r="AJ487" s="36">
        <f t="shared" si="542"/>
        <v>-1</v>
      </c>
      <c r="AK487" s="36">
        <f t="shared" si="543"/>
        <v>-1</v>
      </c>
      <c r="AL487" s="36"/>
      <c r="AM487" s="36" t="str">
        <f t="shared" si="564"/>
        <v/>
      </c>
      <c r="AN487" s="288" t="str">
        <f t="shared" si="544"/>
        <v/>
      </c>
      <c r="AO487" s="288" t="str">
        <f t="shared" si="545"/>
        <v/>
      </c>
      <c r="AP487" s="288" t="str">
        <f t="shared" si="546"/>
        <v/>
      </c>
      <c r="AQ487" s="36">
        <f t="shared" ref="AQ487:AS487" si="601">AQ486</f>
        <v>3.3793103448275866E-2</v>
      </c>
      <c r="AR487" s="36">
        <f t="shared" si="601"/>
        <v>5.9329425287356324E-2</v>
      </c>
      <c r="AS487" s="36">
        <f t="shared" si="601"/>
        <v>8.4865747126436797E-2</v>
      </c>
      <c r="AT487" s="288">
        <f t="shared" si="548"/>
        <v>0.11040206896551726</v>
      </c>
    </row>
    <row r="488" spans="2:46">
      <c r="B488" s="287"/>
      <c r="C488" s="707"/>
      <c r="D488" s="707"/>
      <c r="E488" s="707"/>
      <c r="F488" s="707"/>
      <c r="G488" s="707"/>
      <c r="H488" s="707"/>
      <c r="I488" s="707"/>
      <c r="J488" s="707"/>
      <c r="K488" s="707"/>
      <c r="L488" s="707"/>
      <c r="M488" s="707"/>
      <c r="N488" s="707"/>
      <c r="O488" s="707"/>
      <c r="P488" s="707"/>
      <c r="Q488" s="707"/>
      <c r="R488" s="707"/>
      <c r="S488" s="707"/>
      <c r="T488" s="707"/>
      <c r="U488" s="707"/>
      <c r="V488" s="707"/>
      <c r="W488" s="707"/>
      <c r="X488" s="707"/>
      <c r="Y488" s="707"/>
      <c r="Z488" s="707"/>
      <c r="AA488" s="36" t="str">
        <f t="shared" si="562"/>
        <v/>
      </c>
      <c r="AB488" s="288" t="str">
        <f t="shared" si="534"/>
        <v/>
      </c>
      <c r="AC488" s="288" t="str">
        <f t="shared" si="535"/>
        <v/>
      </c>
      <c r="AD488" s="288" t="str">
        <f t="shared" si="536"/>
        <v/>
      </c>
      <c r="AE488" s="288" t="str">
        <f t="shared" si="537"/>
        <v/>
      </c>
      <c r="AF488" s="288" t="str">
        <f t="shared" si="538"/>
        <v/>
      </c>
      <c r="AG488" s="288" t="str">
        <f t="shared" si="539"/>
        <v/>
      </c>
      <c r="AH488" s="288" t="str">
        <f t="shared" si="540"/>
        <v/>
      </c>
      <c r="AI488" s="36">
        <f t="shared" si="541"/>
        <v>-1</v>
      </c>
      <c r="AJ488" s="36">
        <f t="shared" si="542"/>
        <v>-1</v>
      </c>
      <c r="AK488" s="36">
        <f t="shared" si="543"/>
        <v>-1</v>
      </c>
      <c r="AL488" s="36"/>
      <c r="AM488" s="36" t="str">
        <f t="shared" si="564"/>
        <v/>
      </c>
      <c r="AN488" s="288" t="str">
        <f t="shared" si="544"/>
        <v/>
      </c>
      <c r="AO488" s="288" t="str">
        <f t="shared" si="545"/>
        <v/>
      </c>
      <c r="AP488" s="288" t="str">
        <f t="shared" si="546"/>
        <v/>
      </c>
      <c r="AQ488" s="36">
        <f t="shared" ref="AQ488:AS488" si="602">AQ487</f>
        <v>3.3793103448275866E-2</v>
      </c>
      <c r="AR488" s="36">
        <f t="shared" si="602"/>
        <v>5.9329425287356324E-2</v>
      </c>
      <c r="AS488" s="36">
        <f t="shared" si="602"/>
        <v>8.4865747126436797E-2</v>
      </c>
      <c r="AT488" s="288">
        <f t="shared" si="548"/>
        <v>0.11040206896551726</v>
      </c>
    </row>
    <row r="489" spans="2:46">
      <c r="B489" s="287"/>
      <c r="C489" s="707"/>
      <c r="D489" s="707"/>
      <c r="E489" s="707"/>
      <c r="F489" s="707"/>
      <c r="G489" s="707"/>
      <c r="H489" s="707"/>
      <c r="I489" s="707"/>
      <c r="J489" s="707"/>
      <c r="K489" s="707"/>
      <c r="L489" s="707"/>
      <c r="M489" s="707"/>
      <c r="N489" s="707"/>
      <c r="O489" s="707"/>
      <c r="P489" s="707"/>
      <c r="Q489" s="707"/>
      <c r="R489" s="707"/>
      <c r="S489" s="707"/>
      <c r="T489" s="707"/>
      <c r="U489" s="707"/>
      <c r="V489" s="707"/>
      <c r="W489" s="707"/>
      <c r="X489" s="707"/>
      <c r="Y489" s="707"/>
      <c r="Z489" s="707"/>
      <c r="AA489" s="36" t="str">
        <f t="shared" si="562"/>
        <v/>
      </c>
      <c r="AB489" s="288" t="str">
        <f t="shared" si="534"/>
        <v/>
      </c>
      <c r="AC489" s="288" t="str">
        <f t="shared" si="535"/>
        <v/>
      </c>
      <c r="AD489" s="288" t="str">
        <f t="shared" si="536"/>
        <v/>
      </c>
      <c r="AE489" s="288" t="str">
        <f t="shared" si="537"/>
        <v/>
      </c>
      <c r="AF489" s="288" t="str">
        <f t="shared" si="538"/>
        <v/>
      </c>
      <c r="AG489" s="288" t="str">
        <f t="shared" si="539"/>
        <v/>
      </c>
      <c r="AH489" s="288" t="str">
        <f t="shared" si="540"/>
        <v/>
      </c>
      <c r="AI489" s="36">
        <f t="shared" si="541"/>
        <v>-1</v>
      </c>
      <c r="AJ489" s="36">
        <f t="shared" si="542"/>
        <v>-1</v>
      </c>
      <c r="AK489" s="36">
        <f t="shared" si="543"/>
        <v>-1</v>
      </c>
      <c r="AL489" s="36"/>
      <c r="AM489" s="36" t="str">
        <f t="shared" si="564"/>
        <v/>
      </c>
      <c r="AN489" s="288" t="str">
        <f t="shared" si="544"/>
        <v/>
      </c>
      <c r="AO489" s="288" t="str">
        <f t="shared" si="545"/>
        <v/>
      </c>
      <c r="AP489" s="288" t="str">
        <f t="shared" si="546"/>
        <v/>
      </c>
      <c r="AQ489" s="36">
        <f t="shared" ref="AQ489:AS489" si="603">AQ488</f>
        <v>3.3793103448275866E-2</v>
      </c>
      <c r="AR489" s="36">
        <f t="shared" si="603"/>
        <v>5.9329425287356324E-2</v>
      </c>
      <c r="AS489" s="36">
        <f t="shared" si="603"/>
        <v>8.4865747126436797E-2</v>
      </c>
      <c r="AT489" s="288">
        <f t="shared" si="548"/>
        <v>0.11040206896551726</v>
      </c>
    </row>
    <row r="490" spans="2:46">
      <c r="B490" s="287"/>
      <c r="C490" s="707"/>
      <c r="D490" s="707"/>
      <c r="E490" s="707"/>
      <c r="F490" s="707"/>
      <c r="G490" s="707"/>
      <c r="H490" s="707"/>
      <c r="I490" s="707"/>
      <c r="J490" s="707"/>
      <c r="K490" s="707"/>
      <c r="L490" s="707"/>
      <c r="M490" s="707"/>
      <c r="N490" s="707"/>
      <c r="O490" s="707"/>
      <c r="P490" s="707"/>
      <c r="Q490" s="707"/>
      <c r="R490" s="707"/>
      <c r="S490" s="707"/>
      <c r="T490" s="707"/>
      <c r="U490" s="707"/>
      <c r="V490" s="707"/>
      <c r="W490" s="707"/>
      <c r="X490" s="707"/>
      <c r="Y490" s="707"/>
      <c r="Z490" s="707"/>
      <c r="AA490" s="36" t="str">
        <f t="shared" si="562"/>
        <v/>
      </c>
      <c r="AB490" s="288" t="str">
        <f t="shared" si="534"/>
        <v/>
      </c>
      <c r="AC490" s="288" t="str">
        <f t="shared" si="535"/>
        <v/>
      </c>
      <c r="AD490" s="288" t="str">
        <f t="shared" si="536"/>
        <v/>
      </c>
      <c r="AE490" s="288" t="str">
        <f t="shared" si="537"/>
        <v/>
      </c>
      <c r="AF490" s="288" t="str">
        <f t="shared" si="538"/>
        <v/>
      </c>
      <c r="AG490" s="288" t="str">
        <f t="shared" si="539"/>
        <v/>
      </c>
      <c r="AH490" s="288" t="str">
        <f t="shared" si="540"/>
        <v/>
      </c>
      <c r="AI490" s="36">
        <f t="shared" si="541"/>
        <v>-1</v>
      </c>
      <c r="AJ490" s="36">
        <f t="shared" si="542"/>
        <v>-1</v>
      </c>
      <c r="AK490" s="36">
        <f t="shared" si="543"/>
        <v>-1</v>
      </c>
      <c r="AL490" s="36"/>
      <c r="AM490" s="36" t="str">
        <f t="shared" si="564"/>
        <v/>
      </c>
      <c r="AN490" s="288" t="str">
        <f t="shared" si="544"/>
        <v/>
      </c>
      <c r="AO490" s="288" t="str">
        <f t="shared" si="545"/>
        <v/>
      </c>
      <c r="AP490" s="288" t="str">
        <f t="shared" si="546"/>
        <v/>
      </c>
      <c r="AQ490" s="36">
        <f t="shared" ref="AQ490:AS490" si="604">AQ489</f>
        <v>3.3793103448275866E-2</v>
      </c>
      <c r="AR490" s="36">
        <f t="shared" si="604"/>
        <v>5.9329425287356324E-2</v>
      </c>
      <c r="AS490" s="36">
        <f t="shared" si="604"/>
        <v>8.4865747126436797E-2</v>
      </c>
      <c r="AT490" s="288">
        <f t="shared" si="548"/>
        <v>0.11040206896551726</v>
      </c>
    </row>
    <row r="491" spans="2:46">
      <c r="B491" s="287"/>
      <c r="C491" s="707"/>
      <c r="D491" s="707"/>
      <c r="E491" s="707"/>
      <c r="F491" s="707"/>
      <c r="G491" s="707"/>
      <c r="H491" s="707"/>
      <c r="I491" s="707"/>
      <c r="J491" s="707"/>
      <c r="K491" s="707"/>
      <c r="L491" s="707"/>
      <c r="M491" s="707"/>
      <c r="N491" s="707"/>
      <c r="O491" s="707"/>
      <c r="P491" s="707"/>
      <c r="Q491" s="707"/>
      <c r="R491" s="707"/>
      <c r="S491" s="707"/>
      <c r="T491" s="707"/>
      <c r="U491" s="707"/>
      <c r="V491" s="707"/>
      <c r="W491" s="707"/>
      <c r="X491" s="707"/>
      <c r="Y491" s="707"/>
      <c r="Z491" s="707"/>
      <c r="AA491" s="36" t="str">
        <f t="shared" si="562"/>
        <v/>
      </c>
      <c r="AB491" s="288" t="str">
        <f t="shared" si="534"/>
        <v/>
      </c>
      <c r="AC491" s="288" t="str">
        <f t="shared" si="535"/>
        <v/>
      </c>
      <c r="AD491" s="288" t="str">
        <f t="shared" si="536"/>
        <v/>
      </c>
      <c r="AE491" s="288" t="str">
        <f t="shared" si="537"/>
        <v/>
      </c>
      <c r="AF491" s="288" t="str">
        <f t="shared" si="538"/>
        <v/>
      </c>
      <c r="AG491" s="288" t="str">
        <f t="shared" si="539"/>
        <v/>
      </c>
      <c r="AH491" s="288" t="str">
        <f t="shared" si="540"/>
        <v/>
      </c>
      <c r="AI491" s="36">
        <f t="shared" si="541"/>
        <v>-1</v>
      </c>
      <c r="AJ491" s="36">
        <f t="shared" si="542"/>
        <v>-1</v>
      </c>
      <c r="AK491" s="36">
        <f t="shared" si="543"/>
        <v>-1</v>
      </c>
      <c r="AL491" s="36"/>
      <c r="AM491" s="36" t="str">
        <f t="shared" si="564"/>
        <v/>
      </c>
      <c r="AN491" s="288" t="str">
        <f t="shared" si="544"/>
        <v/>
      </c>
      <c r="AO491" s="288" t="str">
        <f t="shared" si="545"/>
        <v/>
      </c>
      <c r="AP491" s="288" t="str">
        <f t="shared" si="546"/>
        <v/>
      </c>
      <c r="AQ491" s="36">
        <f t="shared" ref="AQ491:AS491" si="605">AQ490</f>
        <v>3.3793103448275866E-2</v>
      </c>
      <c r="AR491" s="36">
        <f t="shared" si="605"/>
        <v>5.9329425287356324E-2</v>
      </c>
      <c r="AS491" s="36">
        <f t="shared" si="605"/>
        <v>8.4865747126436797E-2</v>
      </c>
      <c r="AT491" s="288">
        <f t="shared" si="548"/>
        <v>0.11040206896551726</v>
      </c>
    </row>
    <row r="492" spans="2:46">
      <c r="B492" s="287"/>
      <c r="C492" s="707"/>
      <c r="D492" s="707"/>
      <c r="E492" s="707"/>
      <c r="F492" s="707"/>
      <c r="G492" s="707"/>
      <c r="H492" s="707"/>
      <c r="I492" s="707"/>
      <c r="J492" s="707"/>
      <c r="K492" s="707"/>
      <c r="L492" s="707"/>
      <c r="M492" s="707"/>
      <c r="N492" s="707"/>
      <c r="O492" s="707"/>
      <c r="P492" s="707"/>
      <c r="Q492" s="707"/>
      <c r="R492" s="707"/>
      <c r="S492" s="707"/>
      <c r="T492" s="707"/>
      <c r="U492" s="707"/>
      <c r="V492" s="707"/>
      <c r="W492" s="707"/>
      <c r="X492" s="707"/>
      <c r="Y492" s="707"/>
      <c r="Z492" s="707"/>
      <c r="AA492" s="36" t="str">
        <f t="shared" si="562"/>
        <v/>
      </c>
      <c r="AB492" s="288" t="str">
        <f t="shared" si="534"/>
        <v/>
      </c>
      <c r="AC492" s="288" t="str">
        <f t="shared" si="535"/>
        <v/>
      </c>
      <c r="AD492" s="288" t="str">
        <f t="shared" si="536"/>
        <v/>
      </c>
      <c r="AE492" s="288" t="str">
        <f t="shared" si="537"/>
        <v/>
      </c>
      <c r="AF492" s="288" t="str">
        <f t="shared" si="538"/>
        <v/>
      </c>
      <c r="AG492" s="288" t="str">
        <f t="shared" si="539"/>
        <v/>
      </c>
      <c r="AH492" s="288" t="str">
        <f t="shared" si="540"/>
        <v/>
      </c>
      <c r="AI492" s="36">
        <f t="shared" si="541"/>
        <v>-1</v>
      </c>
      <c r="AJ492" s="36">
        <f t="shared" si="542"/>
        <v>-1</v>
      </c>
      <c r="AK492" s="36">
        <f t="shared" si="543"/>
        <v>-1</v>
      </c>
      <c r="AL492" s="36"/>
      <c r="AM492" s="36" t="str">
        <f t="shared" si="564"/>
        <v/>
      </c>
      <c r="AN492" s="288" t="str">
        <f t="shared" si="544"/>
        <v/>
      </c>
      <c r="AO492" s="288" t="str">
        <f t="shared" si="545"/>
        <v/>
      </c>
      <c r="AP492" s="288" t="str">
        <f t="shared" si="546"/>
        <v/>
      </c>
      <c r="AQ492" s="36">
        <f t="shared" ref="AQ492:AS492" si="606">AQ491</f>
        <v>3.3793103448275866E-2</v>
      </c>
      <c r="AR492" s="36">
        <f t="shared" si="606"/>
        <v>5.9329425287356324E-2</v>
      </c>
      <c r="AS492" s="36">
        <f t="shared" si="606"/>
        <v>8.4865747126436797E-2</v>
      </c>
      <c r="AT492" s="288">
        <f t="shared" si="548"/>
        <v>0.11040206896551726</v>
      </c>
    </row>
    <row r="493" spans="2:46">
      <c r="B493" s="287"/>
      <c r="C493" s="707"/>
      <c r="D493" s="707"/>
      <c r="E493" s="707"/>
      <c r="F493" s="707"/>
      <c r="G493" s="707"/>
      <c r="H493" s="707"/>
      <c r="I493" s="707"/>
      <c r="J493" s="707"/>
      <c r="K493" s="707"/>
      <c r="L493" s="707"/>
      <c r="M493" s="707"/>
      <c r="N493" s="707"/>
      <c r="O493" s="707"/>
      <c r="P493" s="707"/>
      <c r="Q493" s="707"/>
      <c r="R493" s="707"/>
      <c r="S493" s="707"/>
      <c r="T493" s="707"/>
      <c r="U493" s="707"/>
      <c r="V493" s="707"/>
      <c r="W493" s="707"/>
      <c r="X493" s="707"/>
      <c r="Y493" s="707"/>
      <c r="Z493" s="707"/>
      <c r="AA493" s="36" t="str">
        <f t="shared" si="562"/>
        <v/>
      </c>
      <c r="AB493" s="288" t="str">
        <f t="shared" si="534"/>
        <v/>
      </c>
      <c r="AC493" s="288" t="str">
        <f t="shared" si="535"/>
        <v/>
      </c>
      <c r="AD493" s="288" t="str">
        <f t="shared" si="536"/>
        <v/>
      </c>
      <c r="AE493" s="288" t="str">
        <f t="shared" si="537"/>
        <v/>
      </c>
      <c r="AF493" s="288" t="str">
        <f t="shared" si="538"/>
        <v/>
      </c>
      <c r="AG493" s="288" t="str">
        <f t="shared" si="539"/>
        <v/>
      </c>
      <c r="AH493" s="288" t="str">
        <f t="shared" si="540"/>
        <v/>
      </c>
      <c r="AI493" s="36">
        <f t="shared" si="541"/>
        <v>-1</v>
      </c>
      <c r="AJ493" s="36">
        <f t="shared" si="542"/>
        <v>-1</v>
      </c>
      <c r="AK493" s="36">
        <f t="shared" si="543"/>
        <v>-1</v>
      </c>
      <c r="AL493" s="36"/>
      <c r="AM493" s="36" t="str">
        <f t="shared" si="564"/>
        <v/>
      </c>
      <c r="AN493" s="288" t="str">
        <f t="shared" si="544"/>
        <v/>
      </c>
      <c r="AO493" s="288" t="str">
        <f t="shared" si="545"/>
        <v/>
      </c>
      <c r="AP493" s="288" t="str">
        <f t="shared" si="546"/>
        <v/>
      </c>
      <c r="AQ493" s="36">
        <f t="shared" ref="AQ493:AS493" si="607">AQ492</f>
        <v>3.3793103448275866E-2</v>
      </c>
      <c r="AR493" s="36">
        <f t="shared" si="607"/>
        <v>5.9329425287356324E-2</v>
      </c>
      <c r="AS493" s="36">
        <f t="shared" si="607"/>
        <v>8.4865747126436797E-2</v>
      </c>
      <c r="AT493" s="288">
        <f t="shared" si="548"/>
        <v>0.11040206896551726</v>
      </c>
    </row>
    <row r="494" spans="2:46">
      <c r="B494" s="287"/>
      <c r="C494" s="707"/>
      <c r="D494" s="707"/>
      <c r="E494" s="707"/>
      <c r="F494" s="707"/>
      <c r="G494" s="707"/>
      <c r="H494" s="707"/>
      <c r="I494" s="707"/>
      <c r="J494" s="707"/>
      <c r="K494" s="707"/>
      <c r="L494" s="707"/>
      <c r="M494" s="707"/>
      <c r="N494" s="707"/>
      <c r="O494" s="707"/>
      <c r="P494" s="707"/>
      <c r="Q494" s="707"/>
      <c r="R494" s="707"/>
      <c r="S494" s="707"/>
      <c r="T494" s="707"/>
      <c r="U494" s="707"/>
      <c r="V494" s="707"/>
      <c r="W494" s="707"/>
      <c r="X494" s="707"/>
      <c r="Y494" s="707"/>
      <c r="Z494" s="707"/>
      <c r="AA494" s="36" t="str">
        <f t="shared" si="562"/>
        <v/>
      </c>
      <c r="AB494" s="288" t="str">
        <f t="shared" si="534"/>
        <v/>
      </c>
      <c r="AC494" s="288" t="str">
        <f t="shared" si="535"/>
        <v/>
      </c>
      <c r="AD494" s="288" t="str">
        <f t="shared" si="536"/>
        <v/>
      </c>
      <c r="AE494" s="288" t="str">
        <f t="shared" si="537"/>
        <v/>
      </c>
      <c r="AF494" s="288" t="str">
        <f t="shared" si="538"/>
        <v/>
      </c>
      <c r="AG494" s="288" t="str">
        <f t="shared" si="539"/>
        <v/>
      </c>
      <c r="AH494" s="288" t="str">
        <f t="shared" si="540"/>
        <v/>
      </c>
      <c r="AI494" s="36">
        <f t="shared" si="541"/>
        <v>-1</v>
      </c>
      <c r="AJ494" s="36">
        <f t="shared" si="542"/>
        <v>-1</v>
      </c>
      <c r="AK494" s="36">
        <f t="shared" si="543"/>
        <v>-1</v>
      </c>
      <c r="AL494" s="36"/>
      <c r="AM494" s="36" t="str">
        <f t="shared" si="564"/>
        <v/>
      </c>
      <c r="AN494" s="288" t="str">
        <f t="shared" si="544"/>
        <v/>
      </c>
      <c r="AO494" s="288" t="str">
        <f t="shared" si="545"/>
        <v/>
      </c>
      <c r="AP494" s="288" t="str">
        <f t="shared" si="546"/>
        <v/>
      </c>
      <c r="AQ494" s="36">
        <f t="shared" ref="AQ494:AS494" si="608">AQ493</f>
        <v>3.3793103448275866E-2</v>
      </c>
      <c r="AR494" s="36">
        <f t="shared" si="608"/>
        <v>5.9329425287356324E-2</v>
      </c>
      <c r="AS494" s="36">
        <f t="shared" si="608"/>
        <v>8.4865747126436797E-2</v>
      </c>
      <c r="AT494" s="288">
        <f t="shared" si="548"/>
        <v>0.11040206896551726</v>
      </c>
    </row>
    <row r="495" spans="2:46">
      <c r="B495" s="287"/>
      <c r="C495" s="707"/>
      <c r="D495" s="707"/>
      <c r="E495" s="707"/>
      <c r="F495" s="707"/>
      <c r="G495" s="707"/>
      <c r="H495" s="707"/>
      <c r="I495" s="707"/>
      <c r="J495" s="707"/>
      <c r="K495" s="707"/>
      <c r="L495" s="707"/>
      <c r="M495" s="707"/>
      <c r="N495" s="707"/>
      <c r="O495" s="707"/>
      <c r="P495" s="707"/>
      <c r="Q495" s="707"/>
      <c r="R495" s="707"/>
      <c r="S495" s="707"/>
      <c r="T495" s="707"/>
      <c r="U495" s="707"/>
      <c r="V495" s="707"/>
      <c r="W495" s="707"/>
      <c r="X495" s="707"/>
      <c r="Y495" s="707"/>
      <c r="Z495" s="707"/>
      <c r="AA495" s="36" t="str">
        <f t="shared" si="562"/>
        <v/>
      </c>
      <c r="AB495" s="288" t="str">
        <f t="shared" si="534"/>
        <v/>
      </c>
      <c r="AC495" s="288" t="str">
        <f t="shared" si="535"/>
        <v/>
      </c>
      <c r="AD495" s="288" t="str">
        <f t="shared" si="536"/>
        <v/>
      </c>
      <c r="AE495" s="288" t="str">
        <f t="shared" si="537"/>
        <v/>
      </c>
      <c r="AF495" s="288" t="str">
        <f t="shared" si="538"/>
        <v/>
      </c>
      <c r="AG495" s="288" t="str">
        <f t="shared" si="539"/>
        <v/>
      </c>
      <c r="AH495" s="288" t="str">
        <f t="shared" si="540"/>
        <v/>
      </c>
      <c r="AI495" s="36">
        <f t="shared" si="541"/>
        <v>-1</v>
      </c>
      <c r="AJ495" s="36">
        <f t="shared" si="542"/>
        <v>-1</v>
      </c>
      <c r="AK495" s="36">
        <f t="shared" si="543"/>
        <v>-1</v>
      </c>
      <c r="AL495" s="36"/>
      <c r="AM495" s="36" t="str">
        <f t="shared" si="564"/>
        <v/>
      </c>
      <c r="AN495" s="288" t="str">
        <f t="shared" si="544"/>
        <v/>
      </c>
      <c r="AO495" s="288" t="str">
        <f t="shared" si="545"/>
        <v/>
      </c>
      <c r="AP495" s="288" t="str">
        <f t="shared" si="546"/>
        <v/>
      </c>
      <c r="AQ495" s="36">
        <f t="shared" ref="AQ495:AS495" si="609">AQ494</f>
        <v>3.3793103448275866E-2</v>
      </c>
      <c r="AR495" s="36">
        <f t="shared" si="609"/>
        <v>5.9329425287356324E-2</v>
      </c>
      <c r="AS495" s="36">
        <f t="shared" si="609"/>
        <v>8.4865747126436797E-2</v>
      </c>
      <c r="AT495" s="288">
        <f t="shared" si="548"/>
        <v>0.11040206896551726</v>
      </c>
    </row>
    <row r="496" spans="2:46">
      <c r="B496" s="287"/>
      <c r="C496" s="707"/>
      <c r="D496" s="707"/>
      <c r="E496" s="707"/>
      <c r="F496" s="707"/>
      <c r="G496" s="707"/>
      <c r="H496" s="707"/>
      <c r="I496" s="707"/>
      <c r="J496" s="707"/>
      <c r="K496" s="707"/>
      <c r="L496" s="707"/>
      <c r="M496" s="707"/>
      <c r="N496" s="707"/>
      <c r="O496" s="707"/>
      <c r="P496" s="707"/>
      <c r="Q496" s="707"/>
      <c r="R496" s="707"/>
      <c r="S496" s="707"/>
      <c r="T496" s="707"/>
      <c r="U496" s="707"/>
      <c r="V496" s="707"/>
      <c r="W496" s="707"/>
      <c r="X496" s="707"/>
      <c r="Y496" s="707"/>
      <c r="Z496" s="707"/>
      <c r="AA496" s="36" t="str">
        <f t="shared" si="562"/>
        <v/>
      </c>
      <c r="AB496" s="288" t="str">
        <f t="shared" si="534"/>
        <v/>
      </c>
      <c r="AC496" s="288" t="str">
        <f t="shared" si="535"/>
        <v/>
      </c>
      <c r="AD496" s="288" t="str">
        <f t="shared" si="536"/>
        <v/>
      </c>
      <c r="AE496" s="288" t="str">
        <f t="shared" si="537"/>
        <v/>
      </c>
      <c r="AF496" s="288" t="str">
        <f t="shared" si="538"/>
        <v/>
      </c>
      <c r="AG496" s="288" t="str">
        <f t="shared" si="539"/>
        <v/>
      </c>
      <c r="AH496" s="288" t="str">
        <f t="shared" si="540"/>
        <v/>
      </c>
      <c r="AI496" s="36">
        <f t="shared" si="541"/>
        <v>-1</v>
      </c>
      <c r="AJ496" s="36">
        <f t="shared" si="542"/>
        <v>-1</v>
      </c>
      <c r="AK496" s="36">
        <f t="shared" si="543"/>
        <v>-1</v>
      </c>
      <c r="AL496" s="36"/>
      <c r="AM496" s="36" t="str">
        <f t="shared" si="564"/>
        <v/>
      </c>
      <c r="AN496" s="288" t="str">
        <f t="shared" si="544"/>
        <v/>
      </c>
      <c r="AO496" s="288" t="str">
        <f t="shared" si="545"/>
        <v/>
      </c>
      <c r="AP496" s="288" t="str">
        <f t="shared" si="546"/>
        <v/>
      </c>
      <c r="AQ496" s="36">
        <f t="shared" ref="AQ496:AS496" si="610">AQ495</f>
        <v>3.3793103448275866E-2</v>
      </c>
      <c r="AR496" s="36">
        <f t="shared" si="610"/>
        <v>5.9329425287356324E-2</v>
      </c>
      <c r="AS496" s="36">
        <f t="shared" si="610"/>
        <v>8.4865747126436797E-2</v>
      </c>
      <c r="AT496" s="288">
        <f t="shared" si="548"/>
        <v>0.11040206896551726</v>
      </c>
    </row>
    <row r="497" spans="2:46">
      <c r="B497" s="287"/>
      <c r="C497" s="707"/>
      <c r="D497" s="707"/>
      <c r="E497" s="707"/>
      <c r="F497" s="707"/>
      <c r="G497" s="707"/>
      <c r="H497" s="707"/>
      <c r="I497" s="707"/>
      <c r="J497" s="707"/>
      <c r="K497" s="707"/>
      <c r="L497" s="707"/>
      <c r="M497" s="707"/>
      <c r="N497" s="707"/>
      <c r="O497" s="707"/>
      <c r="P497" s="707"/>
      <c r="Q497" s="707"/>
      <c r="R497" s="707"/>
      <c r="S497" s="707"/>
      <c r="T497" s="707"/>
      <c r="U497" s="707"/>
      <c r="V497" s="707"/>
      <c r="W497" s="707"/>
      <c r="X497" s="707"/>
      <c r="Y497" s="707"/>
      <c r="Z497" s="707"/>
      <c r="AA497" s="36" t="str">
        <f t="shared" si="562"/>
        <v/>
      </c>
      <c r="AB497" s="288" t="str">
        <f t="shared" si="534"/>
        <v/>
      </c>
      <c r="AC497" s="288" t="str">
        <f t="shared" si="535"/>
        <v/>
      </c>
      <c r="AD497" s="288" t="str">
        <f t="shared" si="536"/>
        <v/>
      </c>
      <c r="AE497" s="288" t="str">
        <f t="shared" si="537"/>
        <v/>
      </c>
      <c r="AF497" s="288" t="str">
        <f t="shared" si="538"/>
        <v/>
      </c>
      <c r="AG497" s="288" t="str">
        <f t="shared" si="539"/>
        <v/>
      </c>
      <c r="AH497" s="288" t="str">
        <f t="shared" si="540"/>
        <v/>
      </c>
      <c r="AI497" s="36">
        <f t="shared" si="541"/>
        <v>-1</v>
      </c>
      <c r="AJ497" s="36">
        <f t="shared" si="542"/>
        <v>-1</v>
      </c>
      <c r="AK497" s="36">
        <f t="shared" si="543"/>
        <v>-1</v>
      </c>
      <c r="AL497" s="36"/>
      <c r="AM497" s="36" t="str">
        <f t="shared" si="564"/>
        <v/>
      </c>
      <c r="AN497" s="288" t="str">
        <f t="shared" si="544"/>
        <v/>
      </c>
      <c r="AO497" s="288" t="str">
        <f t="shared" si="545"/>
        <v/>
      </c>
      <c r="AP497" s="288" t="str">
        <f t="shared" si="546"/>
        <v/>
      </c>
      <c r="AQ497" s="36">
        <f t="shared" ref="AQ497:AS497" si="611">AQ496</f>
        <v>3.3793103448275866E-2</v>
      </c>
      <c r="AR497" s="36">
        <f t="shared" si="611"/>
        <v>5.9329425287356324E-2</v>
      </c>
      <c r="AS497" s="36">
        <f t="shared" si="611"/>
        <v>8.4865747126436797E-2</v>
      </c>
      <c r="AT497" s="288">
        <f t="shared" si="548"/>
        <v>0.11040206896551726</v>
      </c>
    </row>
    <row r="498" spans="2:46">
      <c r="B498" s="287"/>
      <c r="C498" s="707"/>
      <c r="D498" s="707"/>
      <c r="E498" s="707"/>
      <c r="F498" s="707"/>
      <c r="G498" s="707"/>
      <c r="H498" s="707"/>
      <c r="I498" s="707"/>
      <c r="J498" s="707"/>
      <c r="K498" s="707"/>
      <c r="L498" s="707"/>
      <c r="M498" s="707"/>
      <c r="N498" s="707"/>
      <c r="O498" s="707"/>
      <c r="P498" s="707"/>
      <c r="Q498" s="707"/>
      <c r="R498" s="707"/>
      <c r="S498" s="707"/>
      <c r="T498" s="707"/>
      <c r="U498" s="707"/>
      <c r="V498" s="707"/>
      <c r="W498" s="707"/>
      <c r="X498" s="707"/>
      <c r="Y498" s="707"/>
      <c r="Z498" s="707"/>
      <c r="AA498" s="36" t="str">
        <f t="shared" si="562"/>
        <v/>
      </c>
      <c r="AB498" s="288" t="str">
        <f t="shared" si="534"/>
        <v/>
      </c>
      <c r="AC498" s="288" t="str">
        <f t="shared" si="535"/>
        <v/>
      </c>
      <c r="AD498" s="288" t="str">
        <f t="shared" si="536"/>
        <v/>
      </c>
      <c r="AE498" s="288" t="str">
        <f t="shared" si="537"/>
        <v/>
      </c>
      <c r="AF498" s="288" t="str">
        <f t="shared" si="538"/>
        <v/>
      </c>
      <c r="AG498" s="288" t="str">
        <f t="shared" si="539"/>
        <v/>
      </c>
      <c r="AH498" s="288" t="str">
        <f t="shared" si="540"/>
        <v/>
      </c>
      <c r="AI498" s="36">
        <f t="shared" si="541"/>
        <v>-1</v>
      </c>
      <c r="AJ498" s="36">
        <f t="shared" si="542"/>
        <v>-1</v>
      </c>
      <c r="AK498" s="36">
        <f t="shared" si="543"/>
        <v>-1</v>
      </c>
      <c r="AL498" s="36"/>
      <c r="AM498" s="36" t="str">
        <f t="shared" si="564"/>
        <v/>
      </c>
      <c r="AN498" s="288" t="str">
        <f t="shared" si="544"/>
        <v/>
      </c>
      <c r="AO498" s="288" t="str">
        <f t="shared" si="545"/>
        <v/>
      </c>
      <c r="AP498" s="288" t="str">
        <f t="shared" si="546"/>
        <v/>
      </c>
      <c r="AQ498" s="36">
        <f t="shared" ref="AQ498:AS498" si="612">AQ497</f>
        <v>3.3793103448275866E-2</v>
      </c>
      <c r="AR498" s="36">
        <f t="shared" si="612"/>
        <v>5.9329425287356324E-2</v>
      </c>
      <c r="AS498" s="36">
        <f t="shared" si="612"/>
        <v>8.4865747126436797E-2</v>
      </c>
      <c r="AT498" s="288">
        <f t="shared" si="548"/>
        <v>0.11040206896551726</v>
      </c>
    </row>
    <row r="499" spans="2:46">
      <c r="B499" s="287"/>
      <c r="C499" s="707"/>
      <c r="D499" s="707"/>
      <c r="E499" s="707"/>
      <c r="F499" s="707"/>
      <c r="G499" s="707"/>
      <c r="H499" s="707"/>
      <c r="I499" s="707"/>
      <c r="J499" s="707"/>
      <c r="K499" s="707"/>
      <c r="L499" s="707"/>
      <c r="M499" s="707"/>
      <c r="N499" s="707"/>
      <c r="O499" s="707"/>
      <c r="P499" s="707"/>
      <c r="Q499" s="707"/>
      <c r="R499" s="707"/>
      <c r="S499" s="707"/>
      <c r="T499" s="707"/>
      <c r="U499" s="707"/>
      <c r="V499" s="707"/>
      <c r="W499" s="707"/>
      <c r="X499" s="707"/>
      <c r="Y499" s="707"/>
      <c r="Z499" s="707"/>
      <c r="AA499" s="36" t="str">
        <f t="shared" si="562"/>
        <v/>
      </c>
      <c r="AB499" s="288" t="str">
        <f t="shared" si="534"/>
        <v/>
      </c>
      <c r="AC499" s="288" t="str">
        <f t="shared" si="535"/>
        <v/>
      </c>
      <c r="AD499" s="288" t="str">
        <f t="shared" si="536"/>
        <v/>
      </c>
      <c r="AE499" s="288" t="str">
        <f t="shared" si="537"/>
        <v/>
      </c>
      <c r="AF499" s="288" t="str">
        <f t="shared" si="538"/>
        <v/>
      </c>
      <c r="AG499" s="288" t="str">
        <f t="shared" si="539"/>
        <v/>
      </c>
      <c r="AH499" s="288" t="str">
        <f t="shared" si="540"/>
        <v/>
      </c>
      <c r="AI499" s="36">
        <f t="shared" si="541"/>
        <v>-1</v>
      </c>
      <c r="AJ499" s="36">
        <f t="shared" si="542"/>
        <v>-1</v>
      </c>
      <c r="AK499" s="36">
        <f t="shared" si="543"/>
        <v>-1</v>
      </c>
      <c r="AL499" s="36"/>
      <c r="AM499" s="36" t="str">
        <f t="shared" si="564"/>
        <v/>
      </c>
      <c r="AN499" s="288" t="str">
        <f t="shared" si="544"/>
        <v/>
      </c>
      <c r="AO499" s="288" t="str">
        <f t="shared" si="545"/>
        <v/>
      </c>
      <c r="AP499" s="288" t="str">
        <f t="shared" si="546"/>
        <v/>
      </c>
      <c r="AQ499" s="36">
        <f t="shared" ref="AQ499:AS499" si="613">AQ498</f>
        <v>3.3793103448275866E-2</v>
      </c>
      <c r="AR499" s="36">
        <f t="shared" si="613"/>
        <v>5.9329425287356324E-2</v>
      </c>
      <c r="AS499" s="36">
        <f t="shared" si="613"/>
        <v>8.4865747126436797E-2</v>
      </c>
      <c r="AT499" s="288">
        <f t="shared" si="548"/>
        <v>0.11040206896551726</v>
      </c>
    </row>
    <row r="500" spans="2:46">
      <c r="B500" s="287"/>
      <c r="C500" s="707"/>
      <c r="D500" s="707"/>
      <c r="E500" s="707"/>
      <c r="F500" s="707"/>
      <c r="G500" s="707"/>
      <c r="H500" s="707"/>
      <c r="I500" s="707"/>
      <c r="J500" s="707"/>
      <c r="K500" s="707"/>
      <c r="L500" s="707"/>
      <c r="M500" s="707"/>
      <c r="N500" s="707"/>
      <c r="O500" s="707"/>
      <c r="P500" s="707"/>
      <c r="Q500" s="707"/>
      <c r="R500" s="707"/>
      <c r="S500" s="707"/>
      <c r="T500" s="707"/>
      <c r="U500" s="707"/>
      <c r="V500" s="707"/>
      <c r="W500" s="707"/>
      <c r="X500" s="707"/>
      <c r="Y500" s="707"/>
      <c r="Z500" s="707"/>
      <c r="AA500" s="36" t="str">
        <f t="shared" si="562"/>
        <v/>
      </c>
      <c r="AB500" s="288" t="str">
        <f t="shared" ref="AB500" si="614">IF(AA500="", "", AE500-(3*STDEV(AA:AA)))</f>
        <v/>
      </c>
      <c r="AC500" s="288" t="str">
        <f t="shared" ref="AC500" si="615">IF(AA500="", "",AE500-(2*STDEV(AA:AA)))</f>
        <v/>
      </c>
      <c r="AD500" s="288" t="str">
        <f t="shared" ref="AD500" si="616">IF(AA500="", "", AE500-STDEV(AA:AA))</f>
        <v/>
      </c>
      <c r="AE500" s="288" t="str">
        <f t="shared" ref="AE500" si="617">IF(AA500="", "", AVERAGE(AA:AA))</f>
        <v/>
      </c>
      <c r="AF500" s="288" t="str">
        <f t="shared" ref="AF500" si="618">IF(AC500="", "", AE500+STDEV(AA:AA))</f>
        <v/>
      </c>
      <c r="AG500" s="288" t="str">
        <f t="shared" ref="AG500" si="619">IF(AE500="", "",AE500+(2*STDEV(AA:AA)))</f>
        <v/>
      </c>
      <c r="AH500" s="288" t="str">
        <f t="shared" ref="AH500" si="620">IF(AG500="", "", AE500+(3*STDEV(AA:AA)))</f>
        <v/>
      </c>
      <c r="AI500" s="36">
        <f t="shared" ref="AI500" si="621">IF(OR(AA500&gt;AH500,AA500&lt;AB500),AA500,-1)</f>
        <v>-1</v>
      </c>
      <c r="AJ500" s="36">
        <f t="shared" ref="AJ500" si="622">IF(IF(AA499&gt;AG499,1,0)+IF(AA500&gt;AG500,1,0)+IF(AA501&gt;AG501,1,0)+IF(AA499&lt;AC499,1,0)+IF(AA500&lt;AC500,1,0)+IF(AA501&lt;AC501,1,0)&gt;=2,AA500,-1)</f>
        <v>-1</v>
      </c>
      <c r="AK500" s="36">
        <f t="shared" ref="AK500" si="623">IF(IF(AA498&lt;AD498,1,0)+IF(AA500&lt;AD500,1,0)+IF(AA501&lt;AD501,1,0)+IF(AA502&lt;AD502,1,0)+IF(AA499&lt;AD499,1,0)+IF(AA498&gt;AF498,1,0)+IF(AA499&gt;AF499,1,0)+IF(AA500&gt;AF500,1,0)+IF(AA501&gt;AF501,1,0)+IF(AA502&gt;AF502,1,0)&gt;4,AA500,-1)</f>
        <v>-1</v>
      </c>
      <c r="AL500" s="36"/>
      <c r="AM500" s="36" t="str">
        <f t="shared" si="564"/>
        <v/>
      </c>
      <c r="AN500" s="288" t="str">
        <f t="shared" ref="AN500" si="624">IF(AM500="", "", AQ500-(3*STDEV(AM:AM)))</f>
        <v/>
      </c>
      <c r="AO500" s="288" t="str">
        <f t="shared" ref="AO500" si="625">IF(AM500="", "", IF($AQ500-(2*(($AT500-$AQ500)/3))&lt;0, 0, $AQ500-(2*(($AT500-$AQ500)/3))))</f>
        <v/>
      </c>
      <c r="AP500" s="288" t="str">
        <f t="shared" ref="AP500" si="626">IF(AM500="", "", IF($AQ500-(($AT500-$AQ500)/3)&lt;0, 0, $AQ499-(($AT499-$AQ499)/3)))</f>
        <v/>
      </c>
      <c r="AQ500" s="36">
        <f t="shared" ref="AQ500:AS501" si="627">AQ499</f>
        <v>3.3793103448275866E-2</v>
      </c>
      <c r="AR500" s="36">
        <f t="shared" si="627"/>
        <v>5.9329425287356324E-2</v>
      </c>
      <c r="AS500" s="36">
        <f t="shared" si="627"/>
        <v>8.4865747126436797E-2</v>
      </c>
      <c r="AT500" s="288">
        <f t="shared" ref="AT500" si="628">$BM$3*AQ500</f>
        <v>0.11040206896551726</v>
      </c>
    </row>
    <row r="501" spans="2:46">
      <c r="B501" s="287"/>
      <c r="C501" s="707"/>
      <c r="D501" s="707"/>
      <c r="E501" s="707"/>
      <c r="F501" s="707"/>
      <c r="G501" s="707"/>
      <c r="H501" s="707"/>
      <c r="I501" s="707"/>
      <c r="J501" s="707"/>
      <c r="K501" s="707"/>
      <c r="L501" s="707"/>
      <c r="M501" s="707"/>
      <c r="N501" s="707"/>
      <c r="O501" s="707"/>
      <c r="P501" s="707"/>
      <c r="Q501" s="707"/>
      <c r="R501" s="707"/>
      <c r="S501" s="707"/>
      <c r="T501" s="707"/>
      <c r="U501" s="707"/>
      <c r="V501" s="707"/>
      <c r="W501" s="707"/>
      <c r="X501" s="707"/>
      <c r="Y501" s="707"/>
      <c r="Z501" s="707"/>
      <c r="AA501" s="36" t="str">
        <f t="shared" si="562"/>
        <v/>
      </c>
      <c r="AB501" s="288" t="str">
        <f t="shared" ref="AB501" si="629">IF(AA501="", "", AE501-(3*STDEV(AA:AA)))</f>
        <v/>
      </c>
      <c r="AC501" s="288" t="str">
        <f t="shared" ref="AC501" si="630">IF(AA501="", "",AE501-(2*STDEV(AA:AA)))</f>
        <v/>
      </c>
      <c r="AD501" s="288" t="str">
        <f t="shared" ref="AD501" si="631">IF(AA501="", "", AE501-STDEV(AA:AA))</f>
        <v/>
      </c>
      <c r="AE501" s="288" t="str">
        <f t="shared" ref="AE501" si="632">IF(AA501="", "", AVERAGE(AA:AA))</f>
        <v/>
      </c>
      <c r="AF501" s="288" t="str">
        <f t="shared" ref="AF501" si="633">IF(AC501="", "", AE501+STDEV(AA:AA))</f>
        <v/>
      </c>
      <c r="AG501" s="288" t="str">
        <f t="shared" ref="AG501" si="634">IF(AE501="", "",AE501+(2*STDEV(AA:AA)))</f>
        <v/>
      </c>
      <c r="AH501" s="288" t="str">
        <f t="shared" ref="AH501" si="635">IF(AG501="", "", AE501+(3*STDEV(AA:AA)))</f>
        <v/>
      </c>
      <c r="AI501" s="36">
        <f t="shared" ref="AI501" si="636">IF(OR(AA501&gt;AH501,AA501&lt;AB501),AA501,-1)</f>
        <v>-1</v>
      </c>
      <c r="AJ501" s="36">
        <f t="shared" ref="AJ501" si="637">IF(IF(AA500&gt;AG500,1,0)+IF(AA501&gt;AG501,1,0)+IF(AA502&gt;AG502,1,0)+IF(AA500&lt;AC500,1,0)+IF(AA501&lt;AC501,1,0)+IF(AA502&lt;AC502,1,0)&gt;=2,AA501,-1)</f>
        <v>-1</v>
      </c>
      <c r="AK501" s="36">
        <f t="shared" ref="AK501" si="638">IF(IF(AA499&lt;AD499,1,0)+IF(AA501&lt;AD501,1,0)+IF(AA502&lt;AD502,1,0)+IF(AA503&lt;AD503,1,0)+IF(AA500&lt;AD500,1,0)+IF(AA499&gt;AF499,1,0)+IF(AA500&gt;AF500,1,0)+IF(AA501&gt;AF501,1,0)+IF(AA502&gt;AF502,1,0)+IF(AA503&gt;AF503,1,0)&gt;4,AA501,-1)</f>
        <v>-1</v>
      </c>
      <c r="AL501" s="36"/>
      <c r="AM501" s="36" t="str">
        <f t="shared" si="564"/>
        <v/>
      </c>
      <c r="AN501" s="288" t="str">
        <f t="shared" ref="AN501" si="639">IF(AM501="", "", AQ501-(3*STDEV(AM:AM)))</f>
        <v/>
      </c>
      <c r="AO501" s="288" t="str">
        <f t="shared" ref="AO501" si="640">IF(AM501="", "", IF($AQ501-(2*(($AT501-$AQ501)/3))&lt;0, 0, $AQ501-(2*(($AT501-$AQ501)/3))))</f>
        <v/>
      </c>
      <c r="AP501" s="288" t="str">
        <f t="shared" ref="AP501" si="641">IF(AM501="", "", IF($AQ501-(($AT501-$AQ501)/3)&lt;0, 0, $AQ500-(($AT500-$AQ500)/3)))</f>
        <v/>
      </c>
      <c r="AQ501" s="36">
        <f t="shared" si="627"/>
        <v>3.3793103448275866E-2</v>
      </c>
      <c r="AR501" s="36">
        <f t="shared" si="627"/>
        <v>5.9329425287356324E-2</v>
      </c>
      <c r="AS501" s="36">
        <f t="shared" si="627"/>
        <v>8.4865747126436797E-2</v>
      </c>
      <c r="AT501" s="288">
        <f t="shared" ref="AT501" si="642">$BM$3*AQ501</f>
        <v>0.11040206896551726</v>
      </c>
    </row>
  </sheetData>
  <autoFilter ref="A1:B501" xr:uid="{E299821B-1743-4208-B429-BF42B904B60D}"/>
  <mergeCells count="4">
    <mergeCell ref="BK1:BK2"/>
    <mergeCell ref="BL1:BL2"/>
    <mergeCell ref="BM1:BM2"/>
    <mergeCell ref="BN1:BN2"/>
  </mergeCells>
  <pageMargins left="0.70866141732283472" right="0.70866141732283472" top="0.74803149606299213" bottom="0.74803149606299213" header="0.31496062992125984" footer="0.31496062992125984"/>
  <pageSetup paperSize="9" scale="10" orientation="landscape" horizontalDpi="4294967293" verticalDpi="300"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4">
    <pageSetUpPr fitToPage="1"/>
  </sheetPr>
  <dimension ref="A1:AR101"/>
  <sheetViews>
    <sheetView view="pageBreakPreview" zoomScale="90" zoomScaleNormal="100" zoomScaleSheetLayoutView="90" workbookViewId="0">
      <selection activeCell="R10" sqref="R10"/>
    </sheetView>
  </sheetViews>
  <sheetFormatPr defaultColWidth="8.7109375" defaultRowHeight="15.75"/>
  <cols>
    <col min="1" max="1" width="14.42578125" style="215" customWidth="1"/>
    <col min="2" max="2" width="12" style="215" customWidth="1"/>
    <col min="3" max="3" width="13.7109375" style="215" customWidth="1"/>
    <col min="4" max="26" width="8.7109375" style="213"/>
    <col min="27" max="27" width="12.140625" style="963" customWidth="1"/>
    <col min="28" max="30" width="9.42578125" style="299" customWidth="1"/>
    <col min="31" max="40" width="9.28515625" style="299"/>
    <col min="41" max="16384" width="8.7109375" style="213"/>
  </cols>
  <sheetData>
    <row r="1" spans="1:44" ht="47.25">
      <c r="A1" s="300" t="s">
        <v>752</v>
      </c>
      <c r="B1" s="300" t="s">
        <v>773</v>
      </c>
      <c r="C1" s="300" t="s">
        <v>774</v>
      </c>
      <c r="AA1" s="961" t="s">
        <v>775</v>
      </c>
      <c r="AB1" s="304" t="e">
        <f>(AD3-AC3)/3</f>
        <v>#DIV/0!</v>
      </c>
      <c r="AF1" s="1311" t="s">
        <v>776</v>
      </c>
      <c r="AG1" s="1311"/>
      <c r="AH1" s="1311"/>
      <c r="AI1" s="1311"/>
      <c r="AJ1" s="1311"/>
      <c r="AK1" s="1311"/>
      <c r="AL1" s="1311"/>
      <c r="AM1" s="1311"/>
      <c r="AN1" s="1311"/>
    </row>
    <row r="2" spans="1:44" ht="15.75" customHeight="1">
      <c r="A2" s="215">
        <v>1</v>
      </c>
      <c r="B2" s="1377"/>
      <c r="C2" s="1377"/>
      <c r="AA2" s="962" t="s">
        <v>777</v>
      </c>
      <c r="AB2" s="301" t="s">
        <v>755</v>
      </c>
      <c r="AC2" s="301" t="s">
        <v>778</v>
      </c>
      <c r="AD2" s="301" t="s">
        <v>761</v>
      </c>
      <c r="AE2" s="301" t="s">
        <v>779</v>
      </c>
      <c r="AF2" s="301" t="s">
        <v>780</v>
      </c>
      <c r="AG2" s="301" t="s">
        <v>781</v>
      </c>
      <c r="AH2" s="301" t="s">
        <v>781</v>
      </c>
      <c r="AI2" s="301" t="s">
        <v>782</v>
      </c>
      <c r="AJ2" s="301" t="s">
        <v>783</v>
      </c>
      <c r="AK2" s="301" t="s">
        <v>784</v>
      </c>
      <c r="AL2" s="301" t="s">
        <v>785</v>
      </c>
      <c r="AM2" s="301" t="s">
        <v>786</v>
      </c>
      <c r="AN2" s="301" t="s">
        <v>787</v>
      </c>
    </row>
    <row r="3" spans="1:44" ht="15.75" customHeight="1">
      <c r="A3" s="215">
        <v>2</v>
      </c>
      <c r="B3" s="1377"/>
      <c r="C3" s="1377"/>
      <c r="AA3" s="963" t="str">
        <f t="shared" ref="AA3:AA34" si="0">IF(B2&lt;&gt;"", B2/C2, "")</f>
        <v/>
      </c>
      <c r="AB3" s="303" t="e">
        <f>AC3-3*SQRT(AC3*(1-AC3)/AVERAGE(C2:C21))</f>
        <v>#DIV/0!</v>
      </c>
      <c r="AC3" s="303" t="e">
        <f t="shared" ref="AC3:AC34" si="1">AVERAGE(AA:AA)</f>
        <v>#DIV/0!</v>
      </c>
      <c r="AD3" s="303" t="e">
        <f>AC3+3*SQRT(AC3*(1-AC3)/AVERAGE(C2:C21))</f>
        <v>#DIV/0!</v>
      </c>
      <c r="AE3" s="299" t="e">
        <f>IF(OR(AF3,AG3,AH3,AI3,AJ3),AA3,NA())</f>
        <v>#DIV/0!</v>
      </c>
      <c r="AF3" s="299" t="e">
        <f>IF(OR(AA3&lt;AB3,AA3&gt;AD3),TRUE,FALSE)</f>
        <v>#DIV/0!</v>
      </c>
      <c r="AK3" s="299" t="e">
        <f t="shared" ref="AK3:AK34" si="2">IF(AA3&gt;AC3+$AB$1*2,1,IF(AA3&lt;AC3-$AB$1*2,-1,0))</f>
        <v>#DIV/0!</v>
      </c>
      <c r="AL3" s="299" t="e">
        <f t="shared" ref="AL3:AL34" si="3">IF(AA3&gt;AC3+$AB$1,1,IF(AA3&lt;AC3-$AB$1,-1,0))</f>
        <v>#DIV/0!</v>
      </c>
      <c r="AM3" s="299" t="e">
        <f>IF(AA3&gt;AC3,1,-1)</f>
        <v>#DIV/0!</v>
      </c>
    </row>
    <row r="4" spans="1:44">
      <c r="A4" s="215">
        <v>3</v>
      </c>
      <c r="B4" s="1377"/>
      <c r="C4" s="1377"/>
      <c r="AA4" s="963" t="str">
        <f t="shared" si="0"/>
        <v/>
      </c>
      <c r="AB4" s="299" t="e">
        <f t="shared" ref="AB4:AB67" si="4">AB3</f>
        <v>#DIV/0!</v>
      </c>
      <c r="AC4" s="303" t="e">
        <f t="shared" si="1"/>
        <v>#DIV/0!</v>
      </c>
      <c r="AD4" s="299" t="e">
        <f t="shared" ref="AD4:AD67" si="5">AD3</f>
        <v>#DIV/0!</v>
      </c>
      <c r="AE4" s="299" t="e">
        <f t="shared" ref="AE4:AE25" si="6">IF(OR(AF4,AG4,AH4,AI4,AJ4),AA4,NA())</f>
        <v>#DIV/0!</v>
      </c>
      <c r="AF4" s="299" t="e">
        <f t="shared" ref="AF4:AF25" si="7">IF(OR(AA4&lt;AB4,AA4&gt;AD4),TRUE,FALSE)</f>
        <v>#DIV/0!</v>
      </c>
      <c r="AK4" s="299" t="e">
        <f t="shared" si="2"/>
        <v>#DIV/0!</v>
      </c>
      <c r="AL4" s="299" t="e">
        <f t="shared" si="3"/>
        <v>#DIV/0!</v>
      </c>
      <c r="AM4" s="299" t="e">
        <f t="shared" ref="AM4:AM25" si="8">IF(AA4&gt;AC4,1,-1)</f>
        <v>#DIV/0!</v>
      </c>
      <c r="AN4" s="299">
        <f>IF(AA4&gt;AA3,1,-1)</f>
        <v>-1</v>
      </c>
    </row>
    <row r="5" spans="1:44">
      <c r="A5" s="215">
        <v>4</v>
      </c>
      <c r="B5" s="1377"/>
      <c r="C5" s="1377"/>
      <c r="AA5" s="963" t="str">
        <f t="shared" si="0"/>
        <v/>
      </c>
      <c r="AB5" s="299" t="e">
        <f t="shared" si="4"/>
        <v>#DIV/0!</v>
      </c>
      <c r="AC5" s="303" t="e">
        <f t="shared" si="1"/>
        <v>#DIV/0!</v>
      </c>
      <c r="AD5" s="299" t="e">
        <f t="shared" si="5"/>
        <v>#DIV/0!</v>
      </c>
      <c r="AE5" s="299" t="e">
        <f t="shared" si="6"/>
        <v>#DIV/0!</v>
      </c>
      <c r="AF5" s="299" t="e">
        <f t="shared" si="7"/>
        <v>#DIV/0!</v>
      </c>
      <c r="AG5" s="299" t="e">
        <f>IF(ABS(SUM(AK3:AK5))&gt;1,TRUE,FALSE)</f>
        <v>#DIV/0!</v>
      </c>
      <c r="AK5" s="299" t="e">
        <f t="shared" si="2"/>
        <v>#DIV/0!</v>
      </c>
      <c r="AL5" s="299" t="e">
        <f t="shared" si="3"/>
        <v>#DIV/0!</v>
      </c>
      <c r="AM5" s="299" t="e">
        <f t="shared" si="8"/>
        <v>#DIV/0!</v>
      </c>
      <c r="AN5" s="299">
        <f t="shared" ref="AN5:AN25" si="9">IF(AA5&gt;AA4,1,-1)</f>
        <v>-1</v>
      </c>
    </row>
    <row r="6" spans="1:44">
      <c r="A6" s="215">
        <v>5</v>
      </c>
      <c r="B6" s="1377"/>
      <c r="C6" s="1377"/>
      <c r="AA6" s="963" t="str">
        <f t="shared" si="0"/>
        <v/>
      </c>
      <c r="AB6" s="299" t="e">
        <f t="shared" si="4"/>
        <v>#DIV/0!</v>
      </c>
      <c r="AC6" s="303" t="e">
        <f t="shared" si="1"/>
        <v>#DIV/0!</v>
      </c>
      <c r="AD6" s="299" t="e">
        <f t="shared" si="5"/>
        <v>#DIV/0!</v>
      </c>
      <c r="AE6" s="299" t="e">
        <f t="shared" si="6"/>
        <v>#DIV/0!</v>
      </c>
      <c r="AF6" s="299" t="e">
        <f t="shared" si="7"/>
        <v>#DIV/0!</v>
      </c>
      <c r="AG6" s="299" t="e">
        <f t="shared" ref="AG6:AG25" si="10">IF(ABS(SUM(AK4:AK6))&gt;1,TRUE,FALSE)</f>
        <v>#DIV/0!</v>
      </c>
      <c r="AK6" s="299" t="e">
        <f t="shared" si="2"/>
        <v>#DIV/0!</v>
      </c>
      <c r="AL6" s="299" t="e">
        <f t="shared" si="3"/>
        <v>#DIV/0!</v>
      </c>
      <c r="AM6" s="299" t="e">
        <f t="shared" si="8"/>
        <v>#DIV/0!</v>
      </c>
      <c r="AN6" s="299">
        <f t="shared" si="9"/>
        <v>-1</v>
      </c>
      <c r="AQ6" s="236"/>
      <c r="AR6" s="236"/>
    </row>
    <row r="7" spans="1:44">
      <c r="A7" s="215">
        <v>6</v>
      </c>
      <c r="B7" s="1377"/>
      <c r="C7" s="1377"/>
      <c r="AA7" s="963" t="str">
        <f t="shared" si="0"/>
        <v/>
      </c>
      <c r="AB7" s="299" t="e">
        <f t="shared" si="4"/>
        <v>#DIV/0!</v>
      </c>
      <c r="AC7" s="303" t="e">
        <f t="shared" si="1"/>
        <v>#DIV/0!</v>
      </c>
      <c r="AD7" s="299" t="e">
        <f t="shared" si="5"/>
        <v>#DIV/0!</v>
      </c>
      <c r="AE7" s="299" t="e">
        <f t="shared" si="6"/>
        <v>#DIV/0!</v>
      </c>
      <c r="AF7" s="299" t="e">
        <f t="shared" si="7"/>
        <v>#DIV/0!</v>
      </c>
      <c r="AG7" s="299" t="e">
        <f t="shared" si="10"/>
        <v>#DIV/0!</v>
      </c>
      <c r="AH7" s="299" t="e">
        <f>IF(ABS(SUM(AL3:AL7))&gt;3,TRUE,FALSE)</f>
        <v>#DIV/0!</v>
      </c>
      <c r="AK7" s="299" t="e">
        <f t="shared" si="2"/>
        <v>#DIV/0!</v>
      </c>
      <c r="AL7" s="299" t="e">
        <f t="shared" si="3"/>
        <v>#DIV/0!</v>
      </c>
      <c r="AM7" s="299" t="e">
        <f t="shared" si="8"/>
        <v>#DIV/0!</v>
      </c>
      <c r="AN7" s="299">
        <f t="shared" si="9"/>
        <v>-1</v>
      </c>
      <c r="AQ7" s="236"/>
      <c r="AR7" s="236"/>
    </row>
    <row r="8" spans="1:44">
      <c r="A8" s="215">
        <v>7</v>
      </c>
      <c r="B8" s="1377"/>
      <c r="C8" s="1377"/>
      <c r="AA8" s="963" t="str">
        <f t="shared" si="0"/>
        <v/>
      </c>
      <c r="AB8" s="299" t="e">
        <f t="shared" si="4"/>
        <v>#DIV/0!</v>
      </c>
      <c r="AC8" s="303" t="e">
        <f t="shared" si="1"/>
        <v>#DIV/0!</v>
      </c>
      <c r="AD8" s="299" t="e">
        <f t="shared" si="5"/>
        <v>#DIV/0!</v>
      </c>
      <c r="AE8" s="299" t="e">
        <f t="shared" si="6"/>
        <v>#DIV/0!</v>
      </c>
      <c r="AF8" s="299" t="e">
        <f t="shared" si="7"/>
        <v>#DIV/0!</v>
      </c>
      <c r="AG8" s="299" t="e">
        <f t="shared" si="10"/>
        <v>#DIV/0!</v>
      </c>
      <c r="AH8" s="299" t="e">
        <f t="shared" ref="AH8:AH25" si="11">IF(ABS(SUM(AL4:AL8))&gt;3,TRUE,FALSE)</f>
        <v>#DIV/0!</v>
      </c>
      <c r="AK8" s="299" t="e">
        <f t="shared" si="2"/>
        <v>#DIV/0!</v>
      </c>
      <c r="AL8" s="299" t="e">
        <f t="shared" si="3"/>
        <v>#DIV/0!</v>
      </c>
      <c r="AM8" s="299" t="e">
        <f t="shared" si="8"/>
        <v>#DIV/0!</v>
      </c>
      <c r="AN8" s="299">
        <f t="shared" si="9"/>
        <v>-1</v>
      </c>
    </row>
    <row r="9" spans="1:44">
      <c r="A9" s="215">
        <v>8</v>
      </c>
      <c r="B9" s="1377"/>
      <c r="C9" s="1377"/>
      <c r="AA9" s="963" t="str">
        <f t="shared" si="0"/>
        <v/>
      </c>
      <c r="AB9" s="299" t="e">
        <f t="shared" si="4"/>
        <v>#DIV/0!</v>
      </c>
      <c r="AC9" s="303" t="e">
        <f t="shared" si="1"/>
        <v>#DIV/0!</v>
      </c>
      <c r="AD9" s="299" t="e">
        <f t="shared" si="5"/>
        <v>#DIV/0!</v>
      </c>
      <c r="AE9" s="299" t="e">
        <f t="shared" si="6"/>
        <v>#DIV/0!</v>
      </c>
      <c r="AF9" s="299" t="e">
        <f t="shared" si="7"/>
        <v>#DIV/0!</v>
      </c>
      <c r="AG9" s="299" t="e">
        <f t="shared" si="10"/>
        <v>#DIV/0!</v>
      </c>
      <c r="AH9" s="299" t="e">
        <f t="shared" si="11"/>
        <v>#DIV/0!</v>
      </c>
      <c r="AJ9" s="299" t="b">
        <f>IF(ABS(SUM(AN3:AN9))=7,TRUE,FALSE)</f>
        <v>0</v>
      </c>
      <c r="AK9" s="299" t="e">
        <f t="shared" si="2"/>
        <v>#DIV/0!</v>
      </c>
      <c r="AL9" s="299" t="e">
        <f t="shared" si="3"/>
        <v>#DIV/0!</v>
      </c>
      <c r="AM9" s="299" t="e">
        <f t="shared" si="8"/>
        <v>#DIV/0!</v>
      </c>
      <c r="AN9" s="299">
        <f t="shared" si="9"/>
        <v>-1</v>
      </c>
    </row>
    <row r="10" spans="1:44">
      <c r="A10" s="215">
        <v>9</v>
      </c>
      <c r="B10" s="1377"/>
      <c r="C10" s="1377"/>
      <c r="E10" s="1008"/>
      <c r="AA10" s="963" t="str">
        <f t="shared" si="0"/>
        <v/>
      </c>
      <c r="AB10" s="299" t="e">
        <f t="shared" si="4"/>
        <v>#DIV/0!</v>
      </c>
      <c r="AC10" s="303" t="e">
        <f t="shared" si="1"/>
        <v>#DIV/0!</v>
      </c>
      <c r="AD10" s="299" t="e">
        <f t="shared" si="5"/>
        <v>#DIV/0!</v>
      </c>
      <c r="AE10" s="299" t="e">
        <f t="shared" si="6"/>
        <v>#DIV/0!</v>
      </c>
      <c r="AF10" s="299" t="e">
        <f t="shared" si="7"/>
        <v>#DIV/0!</v>
      </c>
      <c r="AG10" s="299" t="e">
        <f t="shared" si="10"/>
        <v>#DIV/0!</v>
      </c>
      <c r="AH10" s="299" t="e">
        <f t="shared" si="11"/>
        <v>#DIV/0!</v>
      </c>
      <c r="AJ10" s="299" t="b">
        <f t="shared" ref="AJ10:AJ25" si="12">IF(ABS(SUM(AN4:AN10))=7,TRUE,FALSE)</f>
        <v>1</v>
      </c>
      <c r="AK10" s="299" t="e">
        <f t="shared" si="2"/>
        <v>#DIV/0!</v>
      </c>
      <c r="AL10" s="299" t="e">
        <f t="shared" si="3"/>
        <v>#DIV/0!</v>
      </c>
      <c r="AM10" s="299" t="e">
        <f t="shared" si="8"/>
        <v>#DIV/0!</v>
      </c>
      <c r="AN10" s="299">
        <f t="shared" si="9"/>
        <v>-1</v>
      </c>
    </row>
    <row r="11" spans="1:44">
      <c r="A11" s="215">
        <v>10</v>
      </c>
      <c r="B11" s="1377"/>
      <c r="C11" s="1377"/>
      <c r="AA11" s="963" t="str">
        <f t="shared" si="0"/>
        <v/>
      </c>
      <c r="AB11" s="299" t="e">
        <f t="shared" si="4"/>
        <v>#DIV/0!</v>
      </c>
      <c r="AC11" s="303" t="e">
        <f t="shared" si="1"/>
        <v>#DIV/0!</v>
      </c>
      <c r="AD11" s="299" t="e">
        <f t="shared" si="5"/>
        <v>#DIV/0!</v>
      </c>
      <c r="AE11" s="299" t="e">
        <f t="shared" si="6"/>
        <v>#DIV/0!</v>
      </c>
      <c r="AF11" s="299" t="e">
        <f t="shared" si="7"/>
        <v>#DIV/0!</v>
      </c>
      <c r="AG11" s="299" t="e">
        <f t="shared" si="10"/>
        <v>#DIV/0!</v>
      </c>
      <c r="AH11" s="299" t="e">
        <f t="shared" si="11"/>
        <v>#DIV/0!</v>
      </c>
      <c r="AJ11" s="299" t="b">
        <f t="shared" si="12"/>
        <v>1</v>
      </c>
      <c r="AK11" s="299" t="e">
        <f t="shared" si="2"/>
        <v>#DIV/0!</v>
      </c>
      <c r="AL11" s="299" t="e">
        <f t="shared" si="3"/>
        <v>#DIV/0!</v>
      </c>
      <c r="AM11" s="299" t="e">
        <f t="shared" si="8"/>
        <v>#DIV/0!</v>
      </c>
      <c r="AN11" s="299">
        <f t="shared" si="9"/>
        <v>-1</v>
      </c>
    </row>
    <row r="12" spans="1:44">
      <c r="A12" s="215">
        <v>11</v>
      </c>
      <c r="B12" s="1377"/>
      <c r="C12" s="1377"/>
      <c r="AA12" s="963" t="str">
        <f t="shared" si="0"/>
        <v/>
      </c>
      <c r="AB12" s="299" t="e">
        <f t="shared" si="4"/>
        <v>#DIV/0!</v>
      </c>
      <c r="AC12" s="303" t="e">
        <f t="shared" si="1"/>
        <v>#DIV/0!</v>
      </c>
      <c r="AD12" s="299" t="e">
        <f t="shared" si="5"/>
        <v>#DIV/0!</v>
      </c>
      <c r="AE12" s="299" t="e">
        <f t="shared" si="6"/>
        <v>#DIV/0!</v>
      </c>
      <c r="AF12" s="299" t="e">
        <f t="shared" si="7"/>
        <v>#DIV/0!</v>
      </c>
      <c r="AG12" s="299" t="e">
        <f t="shared" si="10"/>
        <v>#DIV/0!</v>
      </c>
      <c r="AH12" s="299" t="e">
        <f t="shared" si="11"/>
        <v>#DIV/0!</v>
      </c>
      <c r="AJ12" s="299" t="b">
        <f t="shared" si="12"/>
        <v>1</v>
      </c>
      <c r="AK12" s="299" t="e">
        <f t="shared" si="2"/>
        <v>#DIV/0!</v>
      </c>
      <c r="AL12" s="299" t="e">
        <f t="shared" si="3"/>
        <v>#DIV/0!</v>
      </c>
      <c r="AM12" s="299" t="e">
        <f t="shared" si="8"/>
        <v>#DIV/0!</v>
      </c>
      <c r="AN12" s="299">
        <f t="shared" si="9"/>
        <v>-1</v>
      </c>
    </row>
    <row r="13" spans="1:44">
      <c r="A13" s="215">
        <v>12</v>
      </c>
      <c r="B13" s="1377"/>
      <c r="C13" s="1377"/>
      <c r="AA13" s="963" t="str">
        <f t="shared" si="0"/>
        <v/>
      </c>
      <c r="AB13" s="299" t="e">
        <f t="shared" si="4"/>
        <v>#DIV/0!</v>
      </c>
      <c r="AC13" s="303" t="e">
        <f t="shared" si="1"/>
        <v>#DIV/0!</v>
      </c>
      <c r="AD13" s="299" t="e">
        <f t="shared" si="5"/>
        <v>#DIV/0!</v>
      </c>
      <c r="AE13" s="299" t="e">
        <f t="shared" si="6"/>
        <v>#DIV/0!</v>
      </c>
      <c r="AF13" s="299" t="e">
        <f t="shared" si="7"/>
        <v>#DIV/0!</v>
      </c>
      <c r="AG13" s="299" t="e">
        <f t="shared" si="10"/>
        <v>#DIV/0!</v>
      </c>
      <c r="AH13" s="299" t="e">
        <f t="shared" si="11"/>
        <v>#DIV/0!</v>
      </c>
      <c r="AJ13" s="299" t="b">
        <f t="shared" si="12"/>
        <v>1</v>
      </c>
      <c r="AK13" s="299" t="e">
        <f t="shared" si="2"/>
        <v>#DIV/0!</v>
      </c>
      <c r="AL13" s="299" t="e">
        <f t="shared" si="3"/>
        <v>#DIV/0!</v>
      </c>
      <c r="AM13" s="299" t="e">
        <f t="shared" si="8"/>
        <v>#DIV/0!</v>
      </c>
      <c r="AN13" s="299">
        <f t="shared" si="9"/>
        <v>-1</v>
      </c>
    </row>
    <row r="14" spans="1:44">
      <c r="A14" s="215">
        <v>13</v>
      </c>
      <c r="B14" s="1377"/>
      <c r="C14" s="1377"/>
      <c r="AA14" s="963" t="str">
        <f t="shared" si="0"/>
        <v/>
      </c>
      <c r="AB14" s="299" t="e">
        <f t="shared" si="4"/>
        <v>#DIV/0!</v>
      </c>
      <c r="AC14" s="303" t="e">
        <f t="shared" si="1"/>
        <v>#DIV/0!</v>
      </c>
      <c r="AD14" s="299" t="e">
        <f t="shared" si="5"/>
        <v>#DIV/0!</v>
      </c>
      <c r="AE14" s="299" t="e">
        <f t="shared" si="6"/>
        <v>#DIV/0!</v>
      </c>
      <c r="AF14" s="299" t="e">
        <f t="shared" si="7"/>
        <v>#DIV/0!</v>
      </c>
      <c r="AG14" s="299" t="e">
        <f t="shared" si="10"/>
        <v>#DIV/0!</v>
      </c>
      <c r="AH14" s="299" t="e">
        <f t="shared" si="11"/>
        <v>#DIV/0!</v>
      </c>
      <c r="AJ14" s="299" t="b">
        <f t="shared" si="12"/>
        <v>1</v>
      </c>
      <c r="AK14" s="299" t="e">
        <f t="shared" si="2"/>
        <v>#DIV/0!</v>
      </c>
      <c r="AL14" s="299" t="e">
        <f t="shared" si="3"/>
        <v>#DIV/0!</v>
      </c>
      <c r="AM14" s="299" t="e">
        <f t="shared" si="8"/>
        <v>#DIV/0!</v>
      </c>
      <c r="AN14" s="299">
        <f t="shared" si="9"/>
        <v>-1</v>
      </c>
    </row>
    <row r="15" spans="1:44">
      <c r="A15" s="215">
        <v>14</v>
      </c>
      <c r="B15" s="1377"/>
      <c r="C15" s="1377"/>
      <c r="AA15" s="963" t="str">
        <f t="shared" si="0"/>
        <v/>
      </c>
      <c r="AB15" s="299" t="e">
        <f t="shared" si="4"/>
        <v>#DIV/0!</v>
      </c>
      <c r="AC15" s="303" t="e">
        <f t="shared" si="1"/>
        <v>#DIV/0!</v>
      </c>
      <c r="AD15" s="299" t="e">
        <f t="shared" si="5"/>
        <v>#DIV/0!</v>
      </c>
      <c r="AE15" s="299" t="e">
        <f t="shared" si="6"/>
        <v>#DIV/0!</v>
      </c>
      <c r="AF15" s="299" t="e">
        <f t="shared" si="7"/>
        <v>#DIV/0!</v>
      </c>
      <c r="AG15" s="299" t="e">
        <f t="shared" si="10"/>
        <v>#DIV/0!</v>
      </c>
      <c r="AH15" s="299" t="e">
        <f t="shared" si="11"/>
        <v>#DIV/0!</v>
      </c>
      <c r="AJ15" s="299" t="b">
        <f t="shared" si="12"/>
        <v>1</v>
      </c>
      <c r="AK15" s="299" t="e">
        <f t="shared" si="2"/>
        <v>#DIV/0!</v>
      </c>
      <c r="AL15" s="299" t="e">
        <f t="shared" si="3"/>
        <v>#DIV/0!</v>
      </c>
      <c r="AM15" s="299" t="e">
        <f t="shared" si="8"/>
        <v>#DIV/0!</v>
      </c>
      <c r="AN15" s="299">
        <f t="shared" si="9"/>
        <v>-1</v>
      </c>
    </row>
    <row r="16" spans="1:44">
      <c r="A16" s="215">
        <v>15</v>
      </c>
      <c r="B16" s="1377"/>
      <c r="C16" s="1377"/>
      <c r="AA16" s="963" t="str">
        <f t="shared" si="0"/>
        <v/>
      </c>
      <c r="AB16" s="299" t="e">
        <f t="shared" si="4"/>
        <v>#DIV/0!</v>
      </c>
      <c r="AC16" s="303" t="e">
        <f t="shared" si="1"/>
        <v>#DIV/0!</v>
      </c>
      <c r="AD16" s="299" t="e">
        <f t="shared" si="5"/>
        <v>#DIV/0!</v>
      </c>
      <c r="AE16" s="299" t="e">
        <f t="shared" si="6"/>
        <v>#DIV/0!</v>
      </c>
      <c r="AF16" s="299" t="e">
        <f t="shared" si="7"/>
        <v>#DIV/0!</v>
      </c>
      <c r="AG16" s="299" t="e">
        <f t="shared" si="10"/>
        <v>#DIV/0!</v>
      </c>
      <c r="AH16" s="299" t="e">
        <f t="shared" si="11"/>
        <v>#DIV/0!</v>
      </c>
      <c r="AJ16" s="299" t="b">
        <f t="shared" si="12"/>
        <v>1</v>
      </c>
      <c r="AK16" s="299" t="e">
        <f t="shared" si="2"/>
        <v>#DIV/0!</v>
      </c>
      <c r="AL16" s="299" t="e">
        <f t="shared" si="3"/>
        <v>#DIV/0!</v>
      </c>
      <c r="AM16" s="299" t="e">
        <f t="shared" si="8"/>
        <v>#DIV/0!</v>
      </c>
      <c r="AN16" s="299">
        <f t="shared" si="9"/>
        <v>-1</v>
      </c>
    </row>
    <row r="17" spans="1:40">
      <c r="A17" s="215">
        <v>16</v>
      </c>
      <c r="B17" s="1377"/>
      <c r="C17" s="1377"/>
      <c r="AA17" s="963" t="str">
        <f t="shared" si="0"/>
        <v/>
      </c>
      <c r="AB17" s="299" t="e">
        <f t="shared" si="4"/>
        <v>#DIV/0!</v>
      </c>
      <c r="AC17" s="303" t="e">
        <f t="shared" si="1"/>
        <v>#DIV/0!</v>
      </c>
      <c r="AD17" s="299" t="e">
        <f t="shared" si="5"/>
        <v>#DIV/0!</v>
      </c>
      <c r="AE17" s="299" t="e">
        <f t="shared" si="6"/>
        <v>#DIV/0!</v>
      </c>
      <c r="AF17" s="299" t="e">
        <f t="shared" si="7"/>
        <v>#DIV/0!</v>
      </c>
      <c r="AG17" s="299" t="e">
        <f t="shared" si="10"/>
        <v>#DIV/0!</v>
      </c>
      <c r="AH17" s="299" t="e">
        <f t="shared" si="11"/>
        <v>#DIV/0!</v>
      </c>
      <c r="AJ17" s="299" t="b">
        <f t="shared" si="12"/>
        <v>1</v>
      </c>
      <c r="AK17" s="299" t="e">
        <f t="shared" si="2"/>
        <v>#DIV/0!</v>
      </c>
      <c r="AL17" s="299" t="e">
        <f t="shared" si="3"/>
        <v>#DIV/0!</v>
      </c>
      <c r="AM17" s="299" t="e">
        <f t="shared" si="8"/>
        <v>#DIV/0!</v>
      </c>
      <c r="AN17" s="299">
        <f t="shared" si="9"/>
        <v>-1</v>
      </c>
    </row>
    <row r="18" spans="1:40">
      <c r="A18" s="215">
        <v>17</v>
      </c>
      <c r="B18" s="1377"/>
      <c r="C18" s="1377"/>
      <c r="AA18" s="963" t="str">
        <f t="shared" si="0"/>
        <v/>
      </c>
      <c r="AB18" s="299" t="e">
        <f t="shared" si="4"/>
        <v>#DIV/0!</v>
      </c>
      <c r="AC18" s="303" t="e">
        <f t="shared" si="1"/>
        <v>#DIV/0!</v>
      </c>
      <c r="AD18" s="299" t="e">
        <f t="shared" si="5"/>
        <v>#DIV/0!</v>
      </c>
      <c r="AE18" s="299" t="e">
        <f t="shared" si="6"/>
        <v>#DIV/0!</v>
      </c>
      <c r="AF18" s="299" t="e">
        <f t="shared" si="7"/>
        <v>#DIV/0!</v>
      </c>
      <c r="AG18" s="299" t="e">
        <f t="shared" si="10"/>
        <v>#DIV/0!</v>
      </c>
      <c r="AH18" s="299" t="e">
        <f t="shared" si="11"/>
        <v>#DIV/0!</v>
      </c>
      <c r="AJ18" s="299" t="b">
        <f t="shared" si="12"/>
        <v>1</v>
      </c>
      <c r="AK18" s="299" t="e">
        <f t="shared" si="2"/>
        <v>#DIV/0!</v>
      </c>
      <c r="AL18" s="299" t="e">
        <f t="shared" si="3"/>
        <v>#DIV/0!</v>
      </c>
      <c r="AM18" s="299" t="e">
        <f t="shared" si="8"/>
        <v>#DIV/0!</v>
      </c>
      <c r="AN18" s="299">
        <f t="shared" si="9"/>
        <v>-1</v>
      </c>
    </row>
    <row r="19" spans="1:40">
      <c r="A19" s="215">
        <v>18</v>
      </c>
      <c r="B19" s="1377"/>
      <c r="C19" s="1377"/>
      <c r="AA19" s="963" t="str">
        <f t="shared" si="0"/>
        <v/>
      </c>
      <c r="AB19" s="299" t="e">
        <f t="shared" si="4"/>
        <v>#DIV/0!</v>
      </c>
      <c r="AC19" s="303" t="e">
        <f t="shared" si="1"/>
        <v>#DIV/0!</v>
      </c>
      <c r="AD19" s="299" t="e">
        <f t="shared" si="5"/>
        <v>#DIV/0!</v>
      </c>
      <c r="AE19" s="299" t="e">
        <f t="shared" si="6"/>
        <v>#DIV/0!</v>
      </c>
      <c r="AF19" s="299" t="e">
        <f t="shared" si="7"/>
        <v>#DIV/0!</v>
      </c>
      <c r="AG19" s="299" t="e">
        <f t="shared" si="10"/>
        <v>#DIV/0!</v>
      </c>
      <c r="AH19" s="299" t="e">
        <f t="shared" si="11"/>
        <v>#DIV/0!</v>
      </c>
      <c r="AJ19" s="299" t="b">
        <f t="shared" si="12"/>
        <v>1</v>
      </c>
      <c r="AK19" s="299" t="e">
        <f t="shared" si="2"/>
        <v>#DIV/0!</v>
      </c>
      <c r="AL19" s="299" t="e">
        <f t="shared" si="3"/>
        <v>#DIV/0!</v>
      </c>
      <c r="AM19" s="299" t="e">
        <f t="shared" si="8"/>
        <v>#DIV/0!</v>
      </c>
      <c r="AN19" s="299">
        <f t="shared" si="9"/>
        <v>-1</v>
      </c>
    </row>
    <row r="20" spans="1:40">
      <c r="A20" s="215">
        <v>19</v>
      </c>
      <c r="B20" s="1377"/>
      <c r="C20" s="1377"/>
      <c r="AA20" s="963" t="str">
        <f t="shared" si="0"/>
        <v/>
      </c>
      <c r="AB20" s="299" t="e">
        <f t="shared" si="4"/>
        <v>#DIV/0!</v>
      </c>
      <c r="AC20" s="303" t="e">
        <f t="shared" si="1"/>
        <v>#DIV/0!</v>
      </c>
      <c r="AD20" s="299" t="e">
        <f t="shared" si="5"/>
        <v>#DIV/0!</v>
      </c>
      <c r="AE20" s="299" t="e">
        <f t="shared" si="6"/>
        <v>#DIV/0!</v>
      </c>
      <c r="AF20" s="299" t="e">
        <f t="shared" si="7"/>
        <v>#DIV/0!</v>
      </c>
      <c r="AG20" s="299" t="e">
        <f t="shared" si="10"/>
        <v>#DIV/0!</v>
      </c>
      <c r="AH20" s="299" t="e">
        <f t="shared" si="11"/>
        <v>#DIV/0!</v>
      </c>
      <c r="AJ20" s="299" t="b">
        <f t="shared" si="12"/>
        <v>1</v>
      </c>
      <c r="AK20" s="299" t="e">
        <f t="shared" si="2"/>
        <v>#DIV/0!</v>
      </c>
      <c r="AL20" s="299" t="e">
        <f t="shared" si="3"/>
        <v>#DIV/0!</v>
      </c>
      <c r="AM20" s="299" t="e">
        <f t="shared" si="8"/>
        <v>#DIV/0!</v>
      </c>
      <c r="AN20" s="299">
        <f t="shared" si="9"/>
        <v>-1</v>
      </c>
    </row>
    <row r="21" spans="1:40">
      <c r="A21" s="215">
        <v>20</v>
      </c>
      <c r="B21" s="1377"/>
      <c r="C21" s="1377"/>
      <c r="AA21" s="963" t="str">
        <f t="shared" si="0"/>
        <v/>
      </c>
      <c r="AB21" s="299" t="e">
        <f t="shared" si="4"/>
        <v>#DIV/0!</v>
      </c>
      <c r="AC21" s="303" t="e">
        <f t="shared" si="1"/>
        <v>#DIV/0!</v>
      </c>
      <c r="AD21" s="299" t="e">
        <f t="shared" si="5"/>
        <v>#DIV/0!</v>
      </c>
      <c r="AE21" s="299" t="e">
        <f t="shared" si="6"/>
        <v>#DIV/0!</v>
      </c>
      <c r="AF21" s="299" t="e">
        <f t="shared" si="7"/>
        <v>#DIV/0!</v>
      </c>
      <c r="AG21" s="299" t="e">
        <f t="shared" si="10"/>
        <v>#DIV/0!</v>
      </c>
      <c r="AH21" s="299" t="e">
        <f t="shared" si="11"/>
        <v>#DIV/0!</v>
      </c>
      <c r="AJ21" s="299" t="b">
        <f t="shared" si="12"/>
        <v>1</v>
      </c>
      <c r="AK21" s="299" t="e">
        <f t="shared" si="2"/>
        <v>#DIV/0!</v>
      </c>
      <c r="AL21" s="299" t="e">
        <f t="shared" si="3"/>
        <v>#DIV/0!</v>
      </c>
      <c r="AM21" s="299" t="e">
        <f t="shared" si="8"/>
        <v>#DIV/0!</v>
      </c>
      <c r="AN21" s="299">
        <f t="shared" si="9"/>
        <v>-1</v>
      </c>
    </row>
    <row r="22" spans="1:40">
      <c r="A22" s="215">
        <v>21</v>
      </c>
      <c r="B22" s="1377"/>
      <c r="C22" s="1377"/>
      <c r="AA22" s="963" t="str">
        <f t="shared" si="0"/>
        <v/>
      </c>
      <c r="AB22" s="299" t="e">
        <f t="shared" si="4"/>
        <v>#DIV/0!</v>
      </c>
      <c r="AC22" s="303" t="e">
        <f t="shared" si="1"/>
        <v>#DIV/0!</v>
      </c>
      <c r="AD22" s="299" t="e">
        <f t="shared" si="5"/>
        <v>#DIV/0!</v>
      </c>
      <c r="AE22" s="299" t="e">
        <f t="shared" si="6"/>
        <v>#DIV/0!</v>
      </c>
      <c r="AF22" s="299" t="e">
        <f t="shared" si="7"/>
        <v>#DIV/0!</v>
      </c>
      <c r="AG22" s="299" t="e">
        <f t="shared" si="10"/>
        <v>#DIV/0!</v>
      </c>
      <c r="AH22" s="299" t="e">
        <f t="shared" si="11"/>
        <v>#DIV/0!</v>
      </c>
      <c r="AI22" s="299" t="e">
        <f>IF(OR(SUM(AM15:AM22)=8,SUM(AM12:AM22)&gt;9,SUM(AM9:AM22)&gt;11,SUM(AM3:AM22)&gt;15),TRUE,FALSE)</f>
        <v>#DIV/0!</v>
      </c>
      <c r="AJ22" s="299" t="b">
        <f t="shared" si="12"/>
        <v>1</v>
      </c>
      <c r="AK22" s="299" t="e">
        <f t="shared" si="2"/>
        <v>#DIV/0!</v>
      </c>
      <c r="AL22" s="299" t="e">
        <f t="shared" si="3"/>
        <v>#DIV/0!</v>
      </c>
      <c r="AM22" s="299" t="e">
        <f t="shared" si="8"/>
        <v>#DIV/0!</v>
      </c>
      <c r="AN22" s="299">
        <f t="shared" si="9"/>
        <v>-1</v>
      </c>
    </row>
    <row r="23" spans="1:40">
      <c r="B23" s="1377"/>
      <c r="C23" s="1377"/>
      <c r="AA23" s="963" t="str">
        <f t="shared" si="0"/>
        <v/>
      </c>
      <c r="AB23" s="299" t="e">
        <f t="shared" si="4"/>
        <v>#DIV/0!</v>
      </c>
      <c r="AC23" s="303" t="e">
        <f t="shared" si="1"/>
        <v>#DIV/0!</v>
      </c>
      <c r="AD23" s="299" t="e">
        <f t="shared" si="5"/>
        <v>#DIV/0!</v>
      </c>
      <c r="AE23" s="299" t="e">
        <f t="shared" si="6"/>
        <v>#DIV/0!</v>
      </c>
      <c r="AF23" s="299" t="e">
        <f t="shared" si="7"/>
        <v>#DIV/0!</v>
      </c>
      <c r="AG23" s="299" t="e">
        <f t="shared" si="10"/>
        <v>#DIV/0!</v>
      </c>
      <c r="AH23" s="299" t="e">
        <f t="shared" si="11"/>
        <v>#DIV/0!</v>
      </c>
      <c r="AI23" s="299" t="e">
        <f t="shared" ref="AI23:AI25" si="13">IF(OR(SUM(AM16:AM23)=8,SUM(AM13:AM23)&gt;9,SUM(AM10:AM23)&gt;11,SUM(AM4:AM23)&gt;15),TRUE,FALSE)</f>
        <v>#DIV/0!</v>
      </c>
      <c r="AJ23" s="299" t="b">
        <f t="shared" si="12"/>
        <v>1</v>
      </c>
      <c r="AK23" s="299" t="e">
        <f t="shared" si="2"/>
        <v>#DIV/0!</v>
      </c>
      <c r="AL23" s="299" t="e">
        <f t="shared" si="3"/>
        <v>#DIV/0!</v>
      </c>
      <c r="AM23" s="299" t="e">
        <f t="shared" si="8"/>
        <v>#DIV/0!</v>
      </c>
      <c r="AN23" s="299">
        <f t="shared" si="9"/>
        <v>-1</v>
      </c>
    </row>
    <row r="24" spans="1:40">
      <c r="B24" s="1377"/>
      <c r="C24" s="1377"/>
      <c r="AA24" s="963" t="str">
        <f t="shared" si="0"/>
        <v/>
      </c>
      <c r="AB24" s="299" t="e">
        <f t="shared" si="4"/>
        <v>#DIV/0!</v>
      </c>
      <c r="AC24" s="303" t="e">
        <f t="shared" si="1"/>
        <v>#DIV/0!</v>
      </c>
      <c r="AD24" s="299" t="e">
        <f t="shared" si="5"/>
        <v>#DIV/0!</v>
      </c>
      <c r="AE24" s="299" t="e">
        <f t="shared" si="6"/>
        <v>#DIV/0!</v>
      </c>
      <c r="AF24" s="299" t="e">
        <f t="shared" si="7"/>
        <v>#DIV/0!</v>
      </c>
      <c r="AG24" s="299" t="e">
        <f t="shared" si="10"/>
        <v>#DIV/0!</v>
      </c>
      <c r="AH24" s="299" t="e">
        <f t="shared" si="11"/>
        <v>#DIV/0!</v>
      </c>
      <c r="AI24" s="299" t="e">
        <f t="shared" si="13"/>
        <v>#DIV/0!</v>
      </c>
      <c r="AJ24" s="299" t="b">
        <f t="shared" si="12"/>
        <v>1</v>
      </c>
      <c r="AK24" s="299" t="e">
        <f t="shared" si="2"/>
        <v>#DIV/0!</v>
      </c>
      <c r="AL24" s="299" t="e">
        <f t="shared" si="3"/>
        <v>#DIV/0!</v>
      </c>
      <c r="AM24" s="299" t="e">
        <f t="shared" si="8"/>
        <v>#DIV/0!</v>
      </c>
      <c r="AN24" s="299">
        <f t="shared" si="9"/>
        <v>-1</v>
      </c>
    </row>
    <row r="25" spans="1:40">
      <c r="B25" s="1377"/>
      <c r="C25" s="1377"/>
      <c r="AA25" s="963" t="str">
        <f t="shared" si="0"/>
        <v/>
      </c>
      <c r="AB25" s="299" t="e">
        <f t="shared" si="4"/>
        <v>#DIV/0!</v>
      </c>
      <c r="AC25" s="303" t="e">
        <f t="shared" si="1"/>
        <v>#DIV/0!</v>
      </c>
      <c r="AD25" s="299" t="e">
        <f t="shared" si="5"/>
        <v>#DIV/0!</v>
      </c>
      <c r="AE25" s="299" t="e">
        <f t="shared" si="6"/>
        <v>#DIV/0!</v>
      </c>
      <c r="AF25" s="299" t="e">
        <f t="shared" si="7"/>
        <v>#DIV/0!</v>
      </c>
      <c r="AG25" s="299" t="e">
        <f t="shared" si="10"/>
        <v>#DIV/0!</v>
      </c>
      <c r="AH25" s="299" t="e">
        <f t="shared" si="11"/>
        <v>#DIV/0!</v>
      </c>
      <c r="AI25" s="299" t="e">
        <f t="shared" si="13"/>
        <v>#DIV/0!</v>
      </c>
      <c r="AJ25" s="299" t="b">
        <f t="shared" si="12"/>
        <v>1</v>
      </c>
      <c r="AK25" s="299" t="e">
        <f t="shared" si="2"/>
        <v>#DIV/0!</v>
      </c>
      <c r="AL25" s="299" t="e">
        <f t="shared" si="3"/>
        <v>#DIV/0!</v>
      </c>
      <c r="AM25" s="299" t="e">
        <f t="shared" si="8"/>
        <v>#DIV/0!</v>
      </c>
      <c r="AN25" s="299">
        <f t="shared" si="9"/>
        <v>-1</v>
      </c>
    </row>
    <row r="26" spans="1:40">
      <c r="B26" s="1377"/>
      <c r="C26" s="1377"/>
      <c r="AA26" s="963" t="str">
        <f t="shared" si="0"/>
        <v/>
      </c>
      <c r="AB26" s="299" t="e">
        <f t="shared" si="4"/>
        <v>#DIV/0!</v>
      </c>
      <c r="AC26" s="303" t="e">
        <f t="shared" si="1"/>
        <v>#DIV/0!</v>
      </c>
      <c r="AD26" s="299" t="e">
        <f t="shared" si="5"/>
        <v>#DIV/0!</v>
      </c>
      <c r="AE26" s="299" t="e">
        <f t="shared" ref="AE26:AE89" si="14">IF(OR(AF26,AG26,AH26,AI26,AJ26),AA26,NA())</f>
        <v>#DIV/0!</v>
      </c>
      <c r="AF26" s="299" t="e">
        <f t="shared" ref="AF26:AF89" si="15">IF(OR(AA26&lt;AB26,AA26&gt;AD26),TRUE,FALSE)</f>
        <v>#DIV/0!</v>
      </c>
      <c r="AG26" s="299" t="e">
        <f t="shared" ref="AG26:AG89" si="16">IF(ABS(SUM(AK24:AK26))&gt;1,TRUE,FALSE)</f>
        <v>#DIV/0!</v>
      </c>
      <c r="AH26" s="299" t="e">
        <f t="shared" ref="AH26:AH89" si="17">IF(ABS(SUM(AL22:AL26))&gt;3,TRUE,FALSE)</f>
        <v>#DIV/0!</v>
      </c>
      <c r="AI26" s="299" t="e">
        <f t="shared" ref="AI26:AI89" si="18">IF(OR(SUM(AM19:AM26)=8,SUM(AM16:AM26)&gt;9,SUM(AM13:AM26)&gt;11,SUM(AM7:AM26)&gt;15),TRUE,FALSE)</f>
        <v>#DIV/0!</v>
      </c>
      <c r="AJ26" s="299" t="b">
        <f t="shared" ref="AJ26:AJ89" si="19">IF(ABS(SUM(AN20:AN26))=7,TRUE,FALSE)</f>
        <v>1</v>
      </c>
      <c r="AK26" s="299" t="e">
        <f t="shared" si="2"/>
        <v>#DIV/0!</v>
      </c>
      <c r="AL26" s="299" t="e">
        <f t="shared" si="3"/>
        <v>#DIV/0!</v>
      </c>
      <c r="AM26" s="299" t="e">
        <f t="shared" ref="AM26:AM89" si="20">IF(AA26&gt;AC26,1,-1)</f>
        <v>#DIV/0!</v>
      </c>
      <c r="AN26" s="299">
        <f t="shared" ref="AN26:AN89" si="21">IF(AA26&gt;AA25,1,-1)</f>
        <v>-1</v>
      </c>
    </row>
    <row r="27" spans="1:40">
      <c r="B27" s="1377"/>
      <c r="C27" s="1377"/>
      <c r="AA27" s="963" t="str">
        <f t="shared" si="0"/>
        <v/>
      </c>
      <c r="AB27" s="299" t="e">
        <f t="shared" si="4"/>
        <v>#DIV/0!</v>
      </c>
      <c r="AC27" s="303" t="e">
        <f t="shared" si="1"/>
        <v>#DIV/0!</v>
      </c>
      <c r="AD27" s="299" t="e">
        <f t="shared" si="5"/>
        <v>#DIV/0!</v>
      </c>
      <c r="AE27" s="299" t="e">
        <f t="shared" si="14"/>
        <v>#DIV/0!</v>
      </c>
      <c r="AF27" s="299" t="e">
        <f t="shared" si="15"/>
        <v>#DIV/0!</v>
      </c>
      <c r="AG27" s="299" t="e">
        <f t="shared" si="16"/>
        <v>#DIV/0!</v>
      </c>
      <c r="AH27" s="299" t="e">
        <f t="shared" si="17"/>
        <v>#DIV/0!</v>
      </c>
      <c r="AI27" s="299" t="e">
        <f t="shared" si="18"/>
        <v>#DIV/0!</v>
      </c>
      <c r="AJ27" s="299" t="b">
        <f t="shared" si="19"/>
        <v>1</v>
      </c>
      <c r="AK27" s="299" t="e">
        <f t="shared" si="2"/>
        <v>#DIV/0!</v>
      </c>
      <c r="AL27" s="299" t="e">
        <f t="shared" si="3"/>
        <v>#DIV/0!</v>
      </c>
      <c r="AM27" s="299" t="e">
        <f t="shared" si="20"/>
        <v>#DIV/0!</v>
      </c>
      <c r="AN27" s="299">
        <f t="shared" si="21"/>
        <v>-1</v>
      </c>
    </row>
    <row r="28" spans="1:40">
      <c r="B28" s="1377"/>
      <c r="C28" s="1377"/>
      <c r="AA28" s="963" t="str">
        <f t="shared" si="0"/>
        <v/>
      </c>
      <c r="AB28" s="299" t="e">
        <f t="shared" si="4"/>
        <v>#DIV/0!</v>
      </c>
      <c r="AC28" s="303" t="e">
        <f t="shared" si="1"/>
        <v>#DIV/0!</v>
      </c>
      <c r="AD28" s="299" t="e">
        <f t="shared" si="5"/>
        <v>#DIV/0!</v>
      </c>
      <c r="AE28" s="299" t="e">
        <f t="shared" si="14"/>
        <v>#DIV/0!</v>
      </c>
      <c r="AF28" s="299" t="e">
        <f t="shared" si="15"/>
        <v>#DIV/0!</v>
      </c>
      <c r="AG28" s="299" t="e">
        <f t="shared" si="16"/>
        <v>#DIV/0!</v>
      </c>
      <c r="AH28" s="299" t="e">
        <f t="shared" si="17"/>
        <v>#DIV/0!</v>
      </c>
      <c r="AI28" s="299" t="e">
        <f t="shared" si="18"/>
        <v>#DIV/0!</v>
      </c>
      <c r="AJ28" s="299" t="b">
        <f t="shared" si="19"/>
        <v>1</v>
      </c>
      <c r="AK28" s="299" t="e">
        <f t="shared" si="2"/>
        <v>#DIV/0!</v>
      </c>
      <c r="AL28" s="299" t="e">
        <f t="shared" si="3"/>
        <v>#DIV/0!</v>
      </c>
      <c r="AM28" s="299" t="e">
        <f t="shared" si="20"/>
        <v>#DIV/0!</v>
      </c>
      <c r="AN28" s="299">
        <f t="shared" si="21"/>
        <v>-1</v>
      </c>
    </row>
    <row r="29" spans="1:40">
      <c r="B29" s="1377"/>
      <c r="C29" s="1377"/>
      <c r="AA29" s="963" t="str">
        <f t="shared" si="0"/>
        <v/>
      </c>
      <c r="AB29" s="299" t="e">
        <f t="shared" si="4"/>
        <v>#DIV/0!</v>
      </c>
      <c r="AC29" s="303" t="e">
        <f t="shared" si="1"/>
        <v>#DIV/0!</v>
      </c>
      <c r="AD29" s="299" t="e">
        <f t="shared" si="5"/>
        <v>#DIV/0!</v>
      </c>
      <c r="AE29" s="299" t="e">
        <f t="shared" si="14"/>
        <v>#DIV/0!</v>
      </c>
      <c r="AF29" s="299" t="e">
        <f t="shared" si="15"/>
        <v>#DIV/0!</v>
      </c>
      <c r="AG29" s="299" t="e">
        <f t="shared" si="16"/>
        <v>#DIV/0!</v>
      </c>
      <c r="AH29" s="299" t="e">
        <f t="shared" si="17"/>
        <v>#DIV/0!</v>
      </c>
      <c r="AI29" s="299" t="e">
        <f t="shared" si="18"/>
        <v>#DIV/0!</v>
      </c>
      <c r="AJ29" s="299" t="b">
        <f t="shared" si="19"/>
        <v>1</v>
      </c>
      <c r="AK29" s="299" t="e">
        <f t="shared" si="2"/>
        <v>#DIV/0!</v>
      </c>
      <c r="AL29" s="299" t="e">
        <f t="shared" si="3"/>
        <v>#DIV/0!</v>
      </c>
      <c r="AM29" s="299" t="e">
        <f t="shared" si="20"/>
        <v>#DIV/0!</v>
      </c>
      <c r="AN29" s="299">
        <f t="shared" si="21"/>
        <v>-1</v>
      </c>
    </row>
    <row r="30" spans="1:40">
      <c r="B30" s="1377"/>
      <c r="C30" s="1377"/>
      <c r="AA30" s="963" t="str">
        <f t="shared" si="0"/>
        <v/>
      </c>
      <c r="AB30" s="299" t="e">
        <f t="shared" si="4"/>
        <v>#DIV/0!</v>
      </c>
      <c r="AC30" s="303" t="e">
        <f t="shared" si="1"/>
        <v>#DIV/0!</v>
      </c>
      <c r="AD30" s="299" t="e">
        <f t="shared" si="5"/>
        <v>#DIV/0!</v>
      </c>
      <c r="AE30" s="299" t="e">
        <f t="shared" si="14"/>
        <v>#DIV/0!</v>
      </c>
      <c r="AF30" s="299" t="e">
        <f t="shared" si="15"/>
        <v>#DIV/0!</v>
      </c>
      <c r="AG30" s="299" t="e">
        <f t="shared" si="16"/>
        <v>#DIV/0!</v>
      </c>
      <c r="AH30" s="299" t="e">
        <f t="shared" si="17"/>
        <v>#DIV/0!</v>
      </c>
      <c r="AI30" s="299" t="e">
        <f t="shared" si="18"/>
        <v>#DIV/0!</v>
      </c>
      <c r="AJ30" s="299" t="b">
        <f t="shared" si="19"/>
        <v>1</v>
      </c>
      <c r="AK30" s="299" t="e">
        <f t="shared" si="2"/>
        <v>#DIV/0!</v>
      </c>
      <c r="AL30" s="299" t="e">
        <f t="shared" si="3"/>
        <v>#DIV/0!</v>
      </c>
      <c r="AM30" s="299" t="e">
        <f t="shared" si="20"/>
        <v>#DIV/0!</v>
      </c>
      <c r="AN30" s="299">
        <f t="shared" si="21"/>
        <v>-1</v>
      </c>
    </row>
    <row r="31" spans="1:40">
      <c r="B31" s="1377"/>
      <c r="C31" s="1377"/>
      <c r="AA31" s="963" t="str">
        <f t="shared" si="0"/>
        <v/>
      </c>
      <c r="AB31" s="299" t="e">
        <f t="shared" si="4"/>
        <v>#DIV/0!</v>
      </c>
      <c r="AC31" s="303" t="e">
        <f t="shared" si="1"/>
        <v>#DIV/0!</v>
      </c>
      <c r="AD31" s="299" t="e">
        <f t="shared" si="5"/>
        <v>#DIV/0!</v>
      </c>
      <c r="AE31" s="299" t="e">
        <f t="shared" si="14"/>
        <v>#DIV/0!</v>
      </c>
      <c r="AF31" s="299" t="e">
        <f t="shared" si="15"/>
        <v>#DIV/0!</v>
      </c>
      <c r="AG31" s="299" t="e">
        <f t="shared" si="16"/>
        <v>#DIV/0!</v>
      </c>
      <c r="AH31" s="299" t="e">
        <f t="shared" si="17"/>
        <v>#DIV/0!</v>
      </c>
      <c r="AI31" s="299" t="e">
        <f t="shared" si="18"/>
        <v>#DIV/0!</v>
      </c>
      <c r="AJ31" s="299" t="b">
        <f t="shared" si="19"/>
        <v>1</v>
      </c>
      <c r="AK31" s="299" t="e">
        <f t="shared" si="2"/>
        <v>#DIV/0!</v>
      </c>
      <c r="AL31" s="299" t="e">
        <f t="shared" si="3"/>
        <v>#DIV/0!</v>
      </c>
      <c r="AM31" s="299" t="e">
        <f t="shared" si="20"/>
        <v>#DIV/0!</v>
      </c>
      <c r="AN31" s="299">
        <f t="shared" si="21"/>
        <v>-1</v>
      </c>
    </row>
    <row r="32" spans="1:40">
      <c r="B32" s="302"/>
      <c r="C32" s="302"/>
      <c r="AA32" s="963" t="str">
        <f t="shared" si="0"/>
        <v/>
      </c>
      <c r="AB32" s="299" t="e">
        <f t="shared" si="4"/>
        <v>#DIV/0!</v>
      </c>
      <c r="AC32" s="303" t="e">
        <f t="shared" si="1"/>
        <v>#DIV/0!</v>
      </c>
      <c r="AD32" s="299" t="e">
        <f t="shared" si="5"/>
        <v>#DIV/0!</v>
      </c>
      <c r="AE32" s="299" t="e">
        <f t="shared" si="14"/>
        <v>#DIV/0!</v>
      </c>
      <c r="AF32" s="299" t="e">
        <f t="shared" si="15"/>
        <v>#DIV/0!</v>
      </c>
      <c r="AG32" s="299" t="e">
        <f t="shared" si="16"/>
        <v>#DIV/0!</v>
      </c>
      <c r="AH32" s="299" t="e">
        <f t="shared" si="17"/>
        <v>#DIV/0!</v>
      </c>
      <c r="AI32" s="299" t="e">
        <f t="shared" si="18"/>
        <v>#DIV/0!</v>
      </c>
      <c r="AJ32" s="299" t="b">
        <f t="shared" si="19"/>
        <v>1</v>
      </c>
      <c r="AK32" s="299" t="e">
        <f t="shared" si="2"/>
        <v>#DIV/0!</v>
      </c>
      <c r="AL32" s="299" t="e">
        <f t="shared" si="3"/>
        <v>#DIV/0!</v>
      </c>
      <c r="AM32" s="299" t="e">
        <f t="shared" si="20"/>
        <v>#DIV/0!</v>
      </c>
      <c r="AN32" s="299">
        <f t="shared" si="21"/>
        <v>-1</v>
      </c>
    </row>
    <row r="33" spans="2:40">
      <c r="B33" s="302"/>
      <c r="C33" s="302"/>
      <c r="AA33" s="963" t="str">
        <f t="shared" si="0"/>
        <v/>
      </c>
      <c r="AB33" s="299" t="e">
        <f t="shared" si="4"/>
        <v>#DIV/0!</v>
      </c>
      <c r="AC33" s="303" t="e">
        <f t="shared" si="1"/>
        <v>#DIV/0!</v>
      </c>
      <c r="AD33" s="299" t="e">
        <f t="shared" si="5"/>
        <v>#DIV/0!</v>
      </c>
      <c r="AE33" s="299" t="e">
        <f t="shared" si="14"/>
        <v>#DIV/0!</v>
      </c>
      <c r="AF33" s="299" t="e">
        <f t="shared" si="15"/>
        <v>#DIV/0!</v>
      </c>
      <c r="AG33" s="299" t="e">
        <f t="shared" si="16"/>
        <v>#DIV/0!</v>
      </c>
      <c r="AH33" s="299" t="e">
        <f t="shared" si="17"/>
        <v>#DIV/0!</v>
      </c>
      <c r="AI33" s="299" t="e">
        <f t="shared" si="18"/>
        <v>#DIV/0!</v>
      </c>
      <c r="AJ33" s="299" t="b">
        <f t="shared" si="19"/>
        <v>1</v>
      </c>
      <c r="AK33" s="299" t="e">
        <f t="shared" si="2"/>
        <v>#DIV/0!</v>
      </c>
      <c r="AL33" s="299" t="e">
        <f t="shared" si="3"/>
        <v>#DIV/0!</v>
      </c>
      <c r="AM33" s="299" t="e">
        <f t="shared" si="20"/>
        <v>#DIV/0!</v>
      </c>
      <c r="AN33" s="299">
        <f t="shared" si="21"/>
        <v>-1</v>
      </c>
    </row>
    <row r="34" spans="2:40">
      <c r="B34" s="302"/>
      <c r="C34" s="302"/>
      <c r="AA34" s="963" t="str">
        <f t="shared" si="0"/>
        <v/>
      </c>
      <c r="AB34" s="299" t="e">
        <f t="shared" si="4"/>
        <v>#DIV/0!</v>
      </c>
      <c r="AC34" s="303" t="e">
        <f t="shared" si="1"/>
        <v>#DIV/0!</v>
      </c>
      <c r="AD34" s="299" t="e">
        <f t="shared" si="5"/>
        <v>#DIV/0!</v>
      </c>
      <c r="AE34" s="299" t="e">
        <f t="shared" si="14"/>
        <v>#DIV/0!</v>
      </c>
      <c r="AF34" s="299" t="e">
        <f t="shared" si="15"/>
        <v>#DIV/0!</v>
      </c>
      <c r="AG34" s="299" t="e">
        <f t="shared" si="16"/>
        <v>#DIV/0!</v>
      </c>
      <c r="AH34" s="299" t="e">
        <f t="shared" si="17"/>
        <v>#DIV/0!</v>
      </c>
      <c r="AI34" s="299" t="e">
        <f t="shared" si="18"/>
        <v>#DIV/0!</v>
      </c>
      <c r="AJ34" s="299" t="b">
        <f t="shared" si="19"/>
        <v>1</v>
      </c>
      <c r="AK34" s="299" t="e">
        <f t="shared" si="2"/>
        <v>#DIV/0!</v>
      </c>
      <c r="AL34" s="299" t="e">
        <f t="shared" si="3"/>
        <v>#DIV/0!</v>
      </c>
      <c r="AM34" s="299" t="e">
        <f t="shared" si="20"/>
        <v>#DIV/0!</v>
      </c>
      <c r="AN34" s="299">
        <f t="shared" si="21"/>
        <v>-1</v>
      </c>
    </row>
    <row r="35" spans="2:40">
      <c r="B35" s="302"/>
      <c r="C35" s="302"/>
      <c r="AA35" s="963" t="str">
        <f t="shared" ref="AA35:AA66" si="22">IF(B34&lt;&gt;"", B34/C34, "")</f>
        <v/>
      </c>
      <c r="AB35" s="299" t="e">
        <f t="shared" si="4"/>
        <v>#DIV/0!</v>
      </c>
      <c r="AC35" s="303" t="e">
        <f t="shared" ref="AC35:AC66" si="23">AVERAGE(AA:AA)</f>
        <v>#DIV/0!</v>
      </c>
      <c r="AD35" s="299" t="e">
        <f t="shared" si="5"/>
        <v>#DIV/0!</v>
      </c>
      <c r="AE35" s="299" t="e">
        <f t="shared" si="14"/>
        <v>#DIV/0!</v>
      </c>
      <c r="AF35" s="299" t="e">
        <f t="shared" si="15"/>
        <v>#DIV/0!</v>
      </c>
      <c r="AG35" s="299" t="e">
        <f t="shared" si="16"/>
        <v>#DIV/0!</v>
      </c>
      <c r="AH35" s="299" t="e">
        <f t="shared" si="17"/>
        <v>#DIV/0!</v>
      </c>
      <c r="AI35" s="299" t="e">
        <f t="shared" si="18"/>
        <v>#DIV/0!</v>
      </c>
      <c r="AJ35" s="299" t="b">
        <f t="shared" si="19"/>
        <v>1</v>
      </c>
      <c r="AK35" s="299" t="e">
        <f t="shared" ref="AK35:AK66" si="24">IF(AA35&gt;AC35+$AB$1*2,1,IF(AA35&lt;AC35-$AB$1*2,-1,0))</f>
        <v>#DIV/0!</v>
      </c>
      <c r="AL35" s="299" t="e">
        <f t="shared" ref="AL35:AL66" si="25">IF(AA35&gt;AC35+$AB$1,1,IF(AA35&lt;AC35-$AB$1,-1,0))</f>
        <v>#DIV/0!</v>
      </c>
      <c r="AM35" s="299" t="e">
        <f t="shared" si="20"/>
        <v>#DIV/0!</v>
      </c>
      <c r="AN35" s="299">
        <f t="shared" si="21"/>
        <v>-1</v>
      </c>
    </row>
    <row r="36" spans="2:40">
      <c r="B36" s="302"/>
      <c r="C36" s="302"/>
      <c r="AA36" s="963" t="str">
        <f t="shared" si="22"/>
        <v/>
      </c>
      <c r="AB36" s="299" t="e">
        <f t="shared" si="4"/>
        <v>#DIV/0!</v>
      </c>
      <c r="AC36" s="303" t="e">
        <f t="shared" si="23"/>
        <v>#DIV/0!</v>
      </c>
      <c r="AD36" s="299" t="e">
        <f t="shared" si="5"/>
        <v>#DIV/0!</v>
      </c>
      <c r="AE36" s="299" t="e">
        <f t="shared" si="14"/>
        <v>#DIV/0!</v>
      </c>
      <c r="AF36" s="299" t="e">
        <f t="shared" si="15"/>
        <v>#DIV/0!</v>
      </c>
      <c r="AG36" s="299" t="e">
        <f t="shared" si="16"/>
        <v>#DIV/0!</v>
      </c>
      <c r="AH36" s="299" t="e">
        <f t="shared" si="17"/>
        <v>#DIV/0!</v>
      </c>
      <c r="AI36" s="299" t="e">
        <f t="shared" si="18"/>
        <v>#DIV/0!</v>
      </c>
      <c r="AJ36" s="299" t="b">
        <f t="shared" si="19"/>
        <v>1</v>
      </c>
      <c r="AK36" s="299" t="e">
        <f t="shared" si="24"/>
        <v>#DIV/0!</v>
      </c>
      <c r="AL36" s="299" t="e">
        <f t="shared" si="25"/>
        <v>#DIV/0!</v>
      </c>
      <c r="AM36" s="299" t="e">
        <f t="shared" si="20"/>
        <v>#DIV/0!</v>
      </c>
      <c r="AN36" s="299">
        <f t="shared" si="21"/>
        <v>-1</v>
      </c>
    </row>
    <row r="37" spans="2:40">
      <c r="B37" s="302"/>
      <c r="C37" s="302"/>
      <c r="AA37" s="963" t="str">
        <f t="shared" si="22"/>
        <v/>
      </c>
      <c r="AB37" s="299" t="e">
        <f t="shared" si="4"/>
        <v>#DIV/0!</v>
      </c>
      <c r="AC37" s="303" t="e">
        <f t="shared" si="23"/>
        <v>#DIV/0!</v>
      </c>
      <c r="AD37" s="299" t="e">
        <f t="shared" si="5"/>
        <v>#DIV/0!</v>
      </c>
      <c r="AE37" s="299" t="e">
        <f t="shared" si="14"/>
        <v>#DIV/0!</v>
      </c>
      <c r="AF37" s="299" t="e">
        <f t="shared" si="15"/>
        <v>#DIV/0!</v>
      </c>
      <c r="AG37" s="299" t="e">
        <f t="shared" si="16"/>
        <v>#DIV/0!</v>
      </c>
      <c r="AH37" s="299" t="e">
        <f t="shared" si="17"/>
        <v>#DIV/0!</v>
      </c>
      <c r="AI37" s="299" t="e">
        <f t="shared" si="18"/>
        <v>#DIV/0!</v>
      </c>
      <c r="AJ37" s="299" t="b">
        <f t="shared" si="19"/>
        <v>1</v>
      </c>
      <c r="AK37" s="299" t="e">
        <f t="shared" si="24"/>
        <v>#DIV/0!</v>
      </c>
      <c r="AL37" s="299" t="e">
        <f t="shared" si="25"/>
        <v>#DIV/0!</v>
      </c>
      <c r="AM37" s="299" t="e">
        <f t="shared" si="20"/>
        <v>#DIV/0!</v>
      </c>
      <c r="AN37" s="299">
        <f t="shared" si="21"/>
        <v>-1</v>
      </c>
    </row>
    <row r="38" spans="2:40">
      <c r="B38" s="302"/>
      <c r="C38" s="302"/>
      <c r="AA38" s="963" t="str">
        <f t="shared" si="22"/>
        <v/>
      </c>
      <c r="AB38" s="299" t="e">
        <f t="shared" si="4"/>
        <v>#DIV/0!</v>
      </c>
      <c r="AC38" s="303" t="e">
        <f t="shared" si="23"/>
        <v>#DIV/0!</v>
      </c>
      <c r="AD38" s="299" t="e">
        <f t="shared" si="5"/>
        <v>#DIV/0!</v>
      </c>
      <c r="AE38" s="299" t="e">
        <f t="shared" si="14"/>
        <v>#DIV/0!</v>
      </c>
      <c r="AF38" s="299" t="e">
        <f t="shared" si="15"/>
        <v>#DIV/0!</v>
      </c>
      <c r="AG38" s="299" t="e">
        <f t="shared" si="16"/>
        <v>#DIV/0!</v>
      </c>
      <c r="AH38" s="299" t="e">
        <f t="shared" si="17"/>
        <v>#DIV/0!</v>
      </c>
      <c r="AI38" s="299" t="e">
        <f t="shared" si="18"/>
        <v>#DIV/0!</v>
      </c>
      <c r="AJ38" s="299" t="b">
        <f t="shared" si="19"/>
        <v>1</v>
      </c>
      <c r="AK38" s="299" t="e">
        <f t="shared" si="24"/>
        <v>#DIV/0!</v>
      </c>
      <c r="AL38" s="299" t="e">
        <f t="shared" si="25"/>
        <v>#DIV/0!</v>
      </c>
      <c r="AM38" s="299" t="e">
        <f t="shared" si="20"/>
        <v>#DIV/0!</v>
      </c>
      <c r="AN38" s="299">
        <f t="shared" si="21"/>
        <v>-1</v>
      </c>
    </row>
    <row r="39" spans="2:40">
      <c r="B39" s="302"/>
      <c r="C39" s="302"/>
      <c r="AA39" s="963" t="str">
        <f t="shared" si="22"/>
        <v/>
      </c>
      <c r="AB39" s="299" t="e">
        <f t="shared" si="4"/>
        <v>#DIV/0!</v>
      </c>
      <c r="AC39" s="303" t="e">
        <f t="shared" si="23"/>
        <v>#DIV/0!</v>
      </c>
      <c r="AD39" s="299" t="e">
        <f t="shared" si="5"/>
        <v>#DIV/0!</v>
      </c>
      <c r="AE39" s="299" t="e">
        <f t="shared" si="14"/>
        <v>#DIV/0!</v>
      </c>
      <c r="AF39" s="299" t="e">
        <f t="shared" si="15"/>
        <v>#DIV/0!</v>
      </c>
      <c r="AG39" s="299" t="e">
        <f t="shared" si="16"/>
        <v>#DIV/0!</v>
      </c>
      <c r="AH39" s="299" t="e">
        <f t="shared" si="17"/>
        <v>#DIV/0!</v>
      </c>
      <c r="AI39" s="299" t="e">
        <f t="shared" si="18"/>
        <v>#DIV/0!</v>
      </c>
      <c r="AJ39" s="299" t="b">
        <f t="shared" si="19"/>
        <v>1</v>
      </c>
      <c r="AK39" s="299" t="e">
        <f t="shared" si="24"/>
        <v>#DIV/0!</v>
      </c>
      <c r="AL39" s="299" t="e">
        <f t="shared" si="25"/>
        <v>#DIV/0!</v>
      </c>
      <c r="AM39" s="299" t="e">
        <f t="shared" si="20"/>
        <v>#DIV/0!</v>
      </c>
      <c r="AN39" s="299">
        <f t="shared" si="21"/>
        <v>-1</v>
      </c>
    </row>
    <row r="40" spans="2:40">
      <c r="B40" s="302"/>
      <c r="C40" s="302"/>
      <c r="AA40" s="963" t="str">
        <f t="shared" si="22"/>
        <v/>
      </c>
      <c r="AB40" s="299" t="e">
        <f t="shared" si="4"/>
        <v>#DIV/0!</v>
      </c>
      <c r="AC40" s="303" t="e">
        <f t="shared" si="23"/>
        <v>#DIV/0!</v>
      </c>
      <c r="AD40" s="299" t="e">
        <f t="shared" si="5"/>
        <v>#DIV/0!</v>
      </c>
      <c r="AE40" s="299" t="e">
        <f t="shared" si="14"/>
        <v>#DIV/0!</v>
      </c>
      <c r="AF40" s="299" t="e">
        <f t="shared" si="15"/>
        <v>#DIV/0!</v>
      </c>
      <c r="AG40" s="299" t="e">
        <f t="shared" si="16"/>
        <v>#DIV/0!</v>
      </c>
      <c r="AH40" s="299" t="e">
        <f t="shared" si="17"/>
        <v>#DIV/0!</v>
      </c>
      <c r="AI40" s="299" t="e">
        <f t="shared" si="18"/>
        <v>#DIV/0!</v>
      </c>
      <c r="AJ40" s="299" t="b">
        <f t="shared" si="19"/>
        <v>1</v>
      </c>
      <c r="AK40" s="299" t="e">
        <f t="shared" si="24"/>
        <v>#DIV/0!</v>
      </c>
      <c r="AL40" s="299" t="e">
        <f t="shared" si="25"/>
        <v>#DIV/0!</v>
      </c>
      <c r="AM40" s="299" t="e">
        <f t="shared" si="20"/>
        <v>#DIV/0!</v>
      </c>
      <c r="AN40" s="299">
        <f t="shared" si="21"/>
        <v>-1</v>
      </c>
    </row>
    <row r="41" spans="2:40">
      <c r="B41" s="302"/>
      <c r="C41" s="302"/>
      <c r="AA41" s="963" t="str">
        <f t="shared" si="22"/>
        <v/>
      </c>
      <c r="AB41" s="299" t="e">
        <f t="shared" si="4"/>
        <v>#DIV/0!</v>
      </c>
      <c r="AC41" s="303" t="e">
        <f t="shared" si="23"/>
        <v>#DIV/0!</v>
      </c>
      <c r="AD41" s="299" t="e">
        <f t="shared" si="5"/>
        <v>#DIV/0!</v>
      </c>
      <c r="AE41" s="299" t="e">
        <f t="shared" si="14"/>
        <v>#DIV/0!</v>
      </c>
      <c r="AF41" s="299" t="e">
        <f t="shared" si="15"/>
        <v>#DIV/0!</v>
      </c>
      <c r="AG41" s="299" t="e">
        <f t="shared" si="16"/>
        <v>#DIV/0!</v>
      </c>
      <c r="AH41" s="299" t="e">
        <f t="shared" si="17"/>
        <v>#DIV/0!</v>
      </c>
      <c r="AI41" s="299" t="e">
        <f t="shared" si="18"/>
        <v>#DIV/0!</v>
      </c>
      <c r="AJ41" s="299" t="b">
        <f t="shared" si="19"/>
        <v>1</v>
      </c>
      <c r="AK41" s="299" t="e">
        <f t="shared" si="24"/>
        <v>#DIV/0!</v>
      </c>
      <c r="AL41" s="299" t="e">
        <f t="shared" si="25"/>
        <v>#DIV/0!</v>
      </c>
      <c r="AM41" s="299" t="e">
        <f t="shared" si="20"/>
        <v>#DIV/0!</v>
      </c>
      <c r="AN41" s="299">
        <f t="shared" si="21"/>
        <v>-1</v>
      </c>
    </row>
    <row r="42" spans="2:40">
      <c r="B42" s="302"/>
      <c r="C42" s="302"/>
      <c r="AA42" s="963" t="str">
        <f t="shared" si="22"/>
        <v/>
      </c>
      <c r="AB42" s="299" t="e">
        <f t="shared" si="4"/>
        <v>#DIV/0!</v>
      </c>
      <c r="AC42" s="303" t="e">
        <f t="shared" si="23"/>
        <v>#DIV/0!</v>
      </c>
      <c r="AD42" s="299" t="e">
        <f t="shared" si="5"/>
        <v>#DIV/0!</v>
      </c>
      <c r="AE42" s="299" t="e">
        <f t="shared" si="14"/>
        <v>#DIV/0!</v>
      </c>
      <c r="AF42" s="299" t="e">
        <f t="shared" si="15"/>
        <v>#DIV/0!</v>
      </c>
      <c r="AG42" s="299" t="e">
        <f t="shared" si="16"/>
        <v>#DIV/0!</v>
      </c>
      <c r="AH42" s="299" t="e">
        <f t="shared" si="17"/>
        <v>#DIV/0!</v>
      </c>
      <c r="AI42" s="299" t="e">
        <f t="shared" si="18"/>
        <v>#DIV/0!</v>
      </c>
      <c r="AJ42" s="299" t="b">
        <f t="shared" si="19"/>
        <v>1</v>
      </c>
      <c r="AK42" s="299" t="e">
        <f t="shared" si="24"/>
        <v>#DIV/0!</v>
      </c>
      <c r="AL42" s="299" t="e">
        <f t="shared" si="25"/>
        <v>#DIV/0!</v>
      </c>
      <c r="AM42" s="299" t="e">
        <f t="shared" si="20"/>
        <v>#DIV/0!</v>
      </c>
      <c r="AN42" s="299">
        <f t="shared" si="21"/>
        <v>-1</v>
      </c>
    </row>
    <row r="43" spans="2:40">
      <c r="B43" s="302"/>
      <c r="C43" s="302"/>
      <c r="AA43" s="963" t="str">
        <f t="shared" si="22"/>
        <v/>
      </c>
      <c r="AB43" s="299" t="e">
        <f t="shared" si="4"/>
        <v>#DIV/0!</v>
      </c>
      <c r="AC43" s="303" t="e">
        <f t="shared" si="23"/>
        <v>#DIV/0!</v>
      </c>
      <c r="AD43" s="299" t="e">
        <f t="shared" si="5"/>
        <v>#DIV/0!</v>
      </c>
      <c r="AE43" s="299" t="e">
        <f t="shared" si="14"/>
        <v>#DIV/0!</v>
      </c>
      <c r="AF43" s="299" t="e">
        <f t="shared" si="15"/>
        <v>#DIV/0!</v>
      </c>
      <c r="AG43" s="299" t="e">
        <f t="shared" si="16"/>
        <v>#DIV/0!</v>
      </c>
      <c r="AH43" s="299" t="e">
        <f t="shared" si="17"/>
        <v>#DIV/0!</v>
      </c>
      <c r="AI43" s="299" t="e">
        <f t="shared" si="18"/>
        <v>#DIV/0!</v>
      </c>
      <c r="AJ43" s="299" t="b">
        <f t="shared" si="19"/>
        <v>1</v>
      </c>
      <c r="AK43" s="299" t="e">
        <f t="shared" si="24"/>
        <v>#DIV/0!</v>
      </c>
      <c r="AL43" s="299" t="e">
        <f t="shared" si="25"/>
        <v>#DIV/0!</v>
      </c>
      <c r="AM43" s="299" t="e">
        <f t="shared" si="20"/>
        <v>#DIV/0!</v>
      </c>
      <c r="AN43" s="299">
        <f t="shared" si="21"/>
        <v>-1</v>
      </c>
    </row>
    <row r="44" spans="2:40">
      <c r="B44" s="302"/>
      <c r="C44" s="302"/>
      <c r="AA44" s="963" t="str">
        <f t="shared" si="22"/>
        <v/>
      </c>
      <c r="AB44" s="299" t="e">
        <f t="shared" si="4"/>
        <v>#DIV/0!</v>
      </c>
      <c r="AC44" s="303" t="e">
        <f t="shared" si="23"/>
        <v>#DIV/0!</v>
      </c>
      <c r="AD44" s="299" t="e">
        <f t="shared" si="5"/>
        <v>#DIV/0!</v>
      </c>
      <c r="AE44" s="299" t="e">
        <f t="shared" si="14"/>
        <v>#DIV/0!</v>
      </c>
      <c r="AF44" s="299" t="e">
        <f t="shared" si="15"/>
        <v>#DIV/0!</v>
      </c>
      <c r="AG44" s="299" t="e">
        <f t="shared" si="16"/>
        <v>#DIV/0!</v>
      </c>
      <c r="AH44" s="299" t="e">
        <f t="shared" si="17"/>
        <v>#DIV/0!</v>
      </c>
      <c r="AI44" s="299" t="e">
        <f t="shared" si="18"/>
        <v>#DIV/0!</v>
      </c>
      <c r="AJ44" s="299" t="b">
        <f t="shared" si="19"/>
        <v>1</v>
      </c>
      <c r="AK44" s="299" t="e">
        <f t="shared" si="24"/>
        <v>#DIV/0!</v>
      </c>
      <c r="AL44" s="299" t="e">
        <f t="shared" si="25"/>
        <v>#DIV/0!</v>
      </c>
      <c r="AM44" s="299" t="e">
        <f t="shared" si="20"/>
        <v>#DIV/0!</v>
      </c>
      <c r="AN44" s="299">
        <f t="shared" si="21"/>
        <v>-1</v>
      </c>
    </row>
    <row r="45" spans="2:40">
      <c r="B45" s="302"/>
      <c r="C45" s="302"/>
      <c r="AA45" s="963" t="str">
        <f t="shared" si="22"/>
        <v/>
      </c>
      <c r="AB45" s="299" t="e">
        <f t="shared" si="4"/>
        <v>#DIV/0!</v>
      </c>
      <c r="AC45" s="303" t="e">
        <f t="shared" si="23"/>
        <v>#DIV/0!</v>
      </c>
      <c r="AD45" s="299" t="e">
        <f t="shared" si="5"/>
        <v>#DIV/0!</v>
      </c>
      <c r="AE45" s="299" t="e">
        <f t="shared" si="14"/>
        <v>#DIV/0!</v>
      </c>
      <c r="AF45" s="299" t="e">
        <f t="shared" si="15"/>
        <v>#DIV/0!</v>
      </c>
      <c r="AG45" s="299" t="e">
        <f t="shared" si="16"/>
        <v>#DIV/0!</v>
      </c>
      <c r="AH45" s="299" t="e">
        <f t="shared" si="17"/>
        <v>#DIV/0!</v>
      </c>
      <c r="AI45" s="299" t="e">
        <f t="shared" si="18"/>
        <v>#DIV/0!</v>
      </c>
      <c r="AJ45" s="299" t="b">
        <f t="shared" si="19"/>
        <v>1</v>
      </c>
      <c r="AK45" s="299" t="e">
        <f t="shared" si="24"/>
        <v>#DIV/0!</v>
      </c>
      <c r="AL45" s="299" t="e">
        <f t="shared" si="25"/>
        <v>#DIV/0!</v>
      </c>
      <c r="AM45" s="299" t="e">
        <f t="shared" si="20"/>
        <v>#DIV/0!</v>
      </c>
      <c r="AN45" s="299">
        <f t="shared" si="21"/>
        <v>-1</v>
      </c>
    </row>
    <row r="46" spans="2:40">
      <c r="B46" s="302"/>
      <c r="C46" s="302"/>
      <c r="AA46" s="963" t="str">
        <f t="shared" si="22"/>
        <v/>
      </c>
      <c r="AB46" s="299" t="e">
        <f t="shared" si="4"/>
        <v>#DIV/0!</v>
      </c>
      <c r="AC46" s="303" t="e">
        <f t="shared" si="23"/>
        <v>#DIV/0!</v>
      </c>
      <c r="AD46" s="299" t="e">
        <f t="shared" si="5"/>
        <v>#DIV/0!</v>
      </c>
      <c r="AE46" s="299" t="e">
        <f t="shared" si="14"/>
        <v>#DIV/0!</v>
      </c>
      <c r="AF46" s="299" t="e">
        <f t="shared" si="15"/>
        <v>#DIV/0!</v>
      </c>
      <c r="AG46" s="299" t="e">
        <f t="shared" si="16"/>
        <v>#DIV/0!</v>
      </c>
      <c r="AH46" s="299" t="e">
        <f t="shared" si="17"/>
        <v>#DIV/0!</v>
      </c>
      <c r="AI46" s="299" t="e">
        <f t="shared" si="18"/>
        <v>#DIV/0!</v>
      </c>
      <c r="AJ46" s="299" t="b">
        <f t="shared" si="19"/>
        <v>1</v>
      </c>
      <c r="AK46" s="299" t="e">
        <f t="shared" si="24"/>
        <v>#DIV/0!</v>
      </c>
      <c r="AL46" s="299" t="e">
        <f t="shared" si="25"/>
        <v>#DIV/0!</v>
      </c>
      <c r="AM46" s="299" t="e">
        <f t="shared" si="20"/>
        <v>#DIV/0!</v>
      </c>
      <c r="AN46" s="299">
        <f t="shared" si="21"/>
        <v>-1</v>
      </c>
    </row>
    <row r="47" spans="2:40">
      <c r="B47" s="302"/>
      <c r="C47" s="302"/>
      <c r="AA47" s="963" t="str">
        <f t="shared" si="22"/>
        <v/>
      </c>
      <c r="AB47" s="299" t="e">
        <f t="shared" si="4"/>
        <v>#DIV/0!</v>
      </c>
      <c r="AC47" s="303" t="e">
        <f t="shared" si="23"/>
        <v>#DIV/0!</v>
      </c>
      <c r="AD47" s="299" t="e">
        <f t="shared" si="5"/>
        <v>#DIV/0!</v>
      </c>
      <c r="AE47" s="299" t="e">
        <f t="shared" si="14"/>
        <v>#DIV/0!</v>
      </c>
      <c r="AF47" s="299" t="e">
        <f t="shared" si="15"/>
        <v>#DIV/0!</v>
      </c>
      <c r="AG47" s="299" t="e">
        <f t="shared" si="16"/>
        <v>#DIV/0!</v>
      </c>
      <c r="AH47" s="299" t="e">
        <f t="shared" si="17"/>
        <v>#DIV/0!</v>
      </c>
      <c r="AI47" s="299" t="e">
        <f t="shared" si="18"/>
        <v>#DIV/0!</v>
      </c>
      <c r="AJ47" s="299" t="b">
        <f t="shared" si="19"/>
        <v>1</v>
      </c>
      <c r="AK47" s="299" t="e">
        <f t="shared" si="24"/>
        <v>#DIV/0!</v>
      </c>
      <c r="AL47" s="299" t="e">
        <f t="shared" si="25"/>
        <v>#DIV/0!</v>
      </c>
      <c r="AM47" s="299" t="e">
        <f t="shared" si="20"/>
        <v>#DIV/0!</v>
      </c>
      <c r="AN47" s="299">
        <f t="shared" si="21"/>
        <v>-1</v>
      </c>
    </row>
    <row r="48" spans="2:40">
      <c r="B48" s="302"/>
      <c r="C48" s="302"/>
      <c r="AA48" s="963" t="str">
        <f t="shared" si="22"/>
        <v/>
      </c>
      <c r="AB48" s="299" t="e">
        <f t="shared" si="4"/>
        <v>#DIV/0!</v>
      </c>
      <c r="AC48" s="303" t="e">
        <f t="shared" si="23"/>
        <v>#DIV/0!</v>
      </c>
      <c r="AD48" s="299" t="e">
        <f t="shared" si="5"/>
        <v>#DIV/0!</v>
      </c>
      <c r="AE48" s="299" t="e">
        <f t="shared" si="14"/>
        <v>#DIV/0!</v>
      </c>
      <c r="AF48" s="299" t="e">
        <f t="shared" si="15"/>
        <v>#DIV/0!</v>
      </c>
      <c r="AG48" s="299" t="e">
        <f t="shared" si="16"/>
        <v>#DIV/0!</v>
      </c>
      <c r="AH48" s="299" t="e">
        <f t="shared" si="17"/>
        <v>#DIV/0!</v>
      </c>
      <c r="AI48" s="299" t="e">
        <f t="shared" si="18"/>
        <v>#DIV/0!</v>
      </c>
      <c r="AJ48" s="299" t="b">
        <f t="shared" si="19"/>
        <v>1</v>
      </c>
      <c r="AK48" s="299" t="e">
        <f t="shared" si="24"/>
        <v>#DIV/0!</v>
      </c>
      <c r="AL48" s="299" t="e">
        <f t="shared" si="25"/>
        <v>#DIV/0!</v>
      </c>
      <c r="AM48" s="299" t="e">
        <f t="shared" si="20"/>
        <v>#DIV/0!</v>
      </c>
      <c r="AN48" s="299">
        <f t="shared" si="21"/>
        <v>-1</v>
      </c>
    </row>
    <row r="49" spans="2:40">
      <c r="B49" s="302"/>
      <c r="C49" s="302"/>
      <c r="AA49" s="963" t="str">
        <f t="shared" si="22"/>
        <v/>
      </c>
      <c r="AB49" s="299" t="e">
        <f t="shared" si="4"/>
        <v>#DIV/0!</v>
      </c>
      <c r="AC49" s="303" t="e">
        <f t="shared" si="23"/>
        <v>#DIV/0!</v>
      </c>
      <c r="AD49" s="299" t="e">
        <f t="shared" si="5"/>
        <v>#DIV/0!</v>
      </c>
      <c r="AE49" s="299" t="e">
        <f t="shared" si="14"/>
        <v>#DIV/0!</v>
      </c>
      <c r="AF49" s="299" t="e">
        <f t="shared" si="15"/>
        <v>#DIV/0!</v>
      </c>
      <c r="AG49" s="299" t="e">
        <f t="shared" si="16"/>
        <v>#DIV/0!</v>
      </c>
      <c r="AH49" s="299" t="e">
        <f t="shared" si="17"/>
        <v>#DIV/0!</v>
      </c>
      <c r="AI49" s="299" t="e">
        <f t="shared" si="18"/>
        <v>#DIV/0!</v>
      </c>
      <c r="AJ49" s="299" t="b">
        <f t="shared" si="19"/>
        <v>1</v>
      </c>
      <c r="AK49" s="299" t="e">
        <f t="shared" si="24"/>
        <v>#DIV/0!</v>
      </c>
      <c r="AL49" s="299" t="e">
        <f t="shared" si="25"/>
        <v>#DIV/0!</v>
      </c>
      <c r="AM49" s="299" t="e">
        <f t="shared" si="20"/>
        <v>#DIV/0!</v>
      </c>
      <c r="AN49" s="299">
        <f t="shared" si="21"/>
        <v>-1</v>
      </c>
    </row>
    <row r="50" spans="2:40">
      <c r="B50" s="302"/>
      <c r="C50" s="302"/>
      <c r="AA50" s="963" t="str">
        <f t="shared" si="22"/>
        <v/>
      </c>
      <c r="AB50" s="299" t="e">
        <f t="shared" si="4"/>
        <v>#DIV/0!</v>
      </c>
      <c r="AC50" s="303" t="e">
        <f t="shared" si="23"/>
        <v>#DIV/0!</v>
      </c>
      <c r="AD50" s="299" t="e">
        <f t="shared" si="5"/>
        <v>#DIV/0!</v>
      </c>
      <c r="AE50" s="299" t="e">
        <f t="shared" si="14"/>
        <v>#DIV/0!</v>
      </c>
      <c r="AF50" s="299" t="e">
        <f t="shared" si="15"/>
        <v>#DIV/0!</v>
      </c>
      <c r="AG50" s="299" t="e">
        <f t="shared" si="16"/>
        <v>#DIV/0!</v>
      </c>
      <c r="AH50" s="299" t="e">
        <f t="shared" si="17"/>
        <v>#DIV/0!</v>
      </c>
      <c r="AI50" s="299" t="e">
        <f t="shared" si="18"/>
        <v>#DIV/0!</v>
      </c>
      <c r="AJ50" s="299" t="b">
        <f t="shared" si="19"/>
        <v>1</v>
      </c>
      <c r="AK50" s="299" t="e">
        <f t="shared" si="24"/>
        <v>#DIV/0!</v>
      </c>
      <c r="AL50" s="299" t="e">
        <f t="shared" si="25"/>
        <v>#DIV/0!</v>
      </c>
      <c r="AM50" s="299" t="e">
        <f t="shared" si="20"/>
        <v>#DIV/0!</v>
      </c>
      <c r="AN50" s="299">
        <f t="shared" si="21"/>
        <v>-1</v>
      </c>
    </row>
    <row r="51" spans="2:40">
      <c r="B51" s="302"/>
      <c r="C51" s="302"/>
      <c r="AA51" s="963" t="str">
        <f t="shared" si="22"/>
        <v/>
      </c>
      <c r="AB51" s="299" t="e">
        <f t="shared" si="4"/>
        <v>#DIV/0!</v>
      </c>
      <c r="AC51" s="303" t="e">
        <f t="shared" si="23"/>
        <v>#DIV/0!</v>
      </c>
      <c r="AD51" s="299" t="e">
        <f t="shared" si="5"/>
        <v>#DIV/0!</v>
      </c>
      <c r="AE51" s="299" t="e">
        <f t="shared" si="14"/>
        <v>#DIV/0!</v>
      </c>
      <c r="AF51" s="299" t="e">
        <f t="shared" si="15"/>
        <v>#DIV/0!</v>
      </c>
      <c r="AG51" s="299" t="e">
        <f t="shared" si="16"/>
        <v>#DIV/0!</v>
      </c>
      <c r="AH51" s="299" t="e">
        <f t="shared" si="17"/>
        <v>#DIV/0!</v>
      </c>
      <c r="AI51" s="299" t="e">
        <f t="shared" si="18"/>
        <v>#DIV/0!</v>
      </c>
      <c r="AJ51" s="299" t="b">
        <f t="shared" si="19"/>
        <v>1</v>
      </c>
      <c r="AK51" s="299" t="e">
        <f t="shared" si="24"/>
        <v>#DIV/0!</v>
      </c>
      <c r="AL51" s="299" t="e">
        <f t="shared" si="25"/>
        <v>#DIV/0!</v>
      </c>
      <c r="AM51" s="299" t="e">
        <f t="shared" si="20"/>
        <v>#DIV/0!</v>
      </c>
      <c r="AN51" s="299">
        <f t="shared" si="21"/>
        <v>-1</v>
      </c>
    </row>
    <row r="52" spans="2:40">
      <c r="B52" s="302"/>
      <c r="C52" s="302"/>
      <c r="AA52" s="963" t="str">
        <f t="shared" si="22"/>
        <v/>
      </c>
      <c r="AB52" s="299" t="e">
        <f t="shared" si="4"/>
        <v>#DIV/0!</v>
      </c>
      <c r="AC52" s="303" t="e">
        <f t="shared" si="23"/>
        <v>#DIV/0!</v>
      </c>
      <c r="AD52" s="299" t="e">
        <f t="shared" si="5"/>
        <v>#DIV/0!</v>
      </c>
      <c r="AE52" s="299" t="e">
        <f t="shared" si="14"/>
        <v>#DIV/0!</v>
      </c>
      <c r="AF52" s="299" t="e">
        <f t="shared" si="15"/>
        <v>#DIV/0!</v>
      </c>
      <c r="AG52" s="299" t="e">
        <f t="shared" si="16"/>
        <v>#DIV/0!</v>
      </c>
      <c r="AH52" s="299" t="e">
        <f t="shared" si="17"/>
        <v>#DIV/0!</v>
      </c>
      <c r="AI52" s="299" t="e">
        <f t="shared" si="18"/>
        <v>#DIV/0!</v>
      </c>
      <c r="AJ52" s="299" t="b">
        <f t="shared" si="19"/>
        <v>1</v>
      </c>
      <c r="AK52" s="299" t="e">
        <f t="shared" si="24"/>
        <v>#DIV/0!</v>
      </c>
      <c r="AL52" s="299" t="e">
        <f t="shared" si="25"/>
        <v>#DIV/0!</v>
      </c>
      <c r="AM52" s="299" t="e">
        <f t="shared" si="20"/>
        <v>#DIV/0!</v>
      </c>
      <c r="AN52" s="299">
        <f t="shared" si="21"/>
        <v>-1</v>
      </c>
    </row>
    <row r="53" spans="2:40">
      <c r="B53" s="302"/>
      <c r="C53" s="302"/>
      <c r="AA53" s="963" t="str">
        <f t="shared" si="22"/>
        <v/>
      </c>
      <c r="AB53" s="299" t="e">
        <f t="shared" si="4"/>
        <v>#DIV/0!</v>
      </c>
      <c r="AC53" s="303" t="e">
        <f t="shared" si="23"/>
        <v>#DIV/0!</v>
      </c>
      <c r="AD53" s="299" t="e">
        <f t="shared" si="5"/>
        <v>#DIV/0!</v>
      </c>
      <c r="AE53" s="299" t="e">
        <f t="shared" si="14"/>
        <v>#DIV/0!</v>
      </c>
      <c r="AF53" s="299" t="e">
        <f t="shared" si="15"/>
        <v>#DIV/0!</v>
      </c>
      <c r="AG53" s="299" t="e">
        <f t="shared" si="16"/>
        <v>#DIV/0!</v>
      </c>
      <c r="AH53" s="299" t="e">
        <f t="shared" si="17"/>
        <v>#DIV/0!</v>
      </c>
      <c r="AI53" s="299" t="e">
        <f t="shared" si="18"/>
        <v>#DIV/0!</v>
      </c>
      <c r="AJ53" s="299" t="b">
        <f t="shared" si="19"/>
        <v>1</v>
      </c>
      <c r="AK53" s="299" t="e">
        <f t="shared" si="24"/>
        <v>#DIV/0!</v>
      </c>
      <c r="AL53" s="299" t="e">
        <f t="shared" si="25"/>
        <v>#DIV/0!</v>
      </c>
      <c r="AM53" s="299" t="e">
        <f t="shared" si="20"/>
        <v>#DIV/0!</v>
      </c>
      <c r="AN53" s="299">
        <f t="shared" si="21"/>
        <v>-1</v>
      </c>
    </row>
    <row r="54" spans="2:40">
      <c r="B54" s="302"/>
      <c r="C54" s="302"/>
      <c r="AA54" s="963" t="str">
        <f t="shared" si="22"/>
        <v/>
      </c>
      <c r="AB54" s="299" t="e">
        <f t="shared" si="4"/>
        <v>#DIV/0!</v>
      </c>
      <c r="AC54" s="303" t="e">
        <f t="shared" si="23"/>
        <v>#DIV/0!</v>
      </c>
      <c r="AD54" s="299" t="e">
        <f t="shared" si="5"/>
        <v>#DIV/0!</v>
      </c>
      <c r="AE54" s="299" t="e">
        <f t="shared" si="14"/>
        <v>#DIV/0!</v>
      </c>
      <c r="AF54" s="299" t="e">
        <f t="shared" si="15"/>
        <v>#DIV/0!</v>
      </c>
      <c r="AG54" s="299" t="e">
        <f t="shared" si="16"/>
        <v>#DIV/0!</v>
      </c>
      <c r="AH54" s="299" t="e">
        <f t="shared" si="17"/>
        <v>#DIV/0!</v>
      </c>
      <c r="AI54" s="299" t="e">
        <f t="shared" si="18"/>
        <v>#DIV/0!</v>
      </c>
      <c r="AJ54" s="299" t="b">
        <f t="shared" si="19"/>
        <v>1</v>
      </c>
      <c r="AK54" s="299" t="e">
        <f t="shared" si="24"/>
        <v>#DIV/0!</v>
      </c>
      <c r="AL54" s="299" t="e">
        <f t="shared" si="25"/>
        <v>#DIV/0!</v>
      </c>
      <c r="AM54" s="299" t="e">
        <f t="shared" si="20"/>
        <v>#DIV/0!</v>
      </c>
      <c r="AN54" s="299">
        <f t="shared" si="21"/>
        <v>-1</v>
      </c>
    </row>
    <row r="55" spans="2:40">
      <c r="B55" s="302"/>
      <c r="C55" s="302"/>
      <c r="AA55" s="963" t="str">
        <f t="shared" si="22"/>
        <v/>
      </c>
      <c r="AB55" s="299" t="e">
        <f t="shared" si="4"/>
        <v>#DIV/0!</v>
      </c>
      <c r="AC55" s="303" t="e">
        <f t="shared" si="23"/>
        <v>#DIV/0!</v>
      </c>
      <c r="AD55" s="299" t="e">
        <f t="shared" si="5"/>
        <v>#DIV/0!</v>
      </c>
      <c r="AE55" s="299" t="e">
        <f t="shared" si="14"/>
        <v>#DIV/0!</v>
      </c>
      <c r="AF55" s="299" t="e">
        <f t="shared" si="15"/>
        <v>#DIV/0!</v>
      </c>
      <c r="AG55" s="299" t="e">
        <f t="shared" si="16"/>
        <v>#DIV/0!</v>
      </c>
      <c r="AH55" s="299" t="e">
        <f t="shared" si="17"/>
        <v>#DIV/0!</v>
      </c>
      <c r="AI55" s="299" t="e">
        <f t="shared" si="18"/>
        <v>#DIV/0!</v>
      </c>
      <c r="AJ55" s="299" t="b">
        <f t="shared" si="19"/>
        <v>1</v>
      </c>
      <c r="AK55" s="299" t="e">
        <f t="shared" si="24"/>
        <v>#DIV/0!</v>
      </c>
      <c r="AL55" s="299" t="e">
        <f t="shared" si="25"/>
        <v>#DIV/0!</v>
      </c>
      <c r="AM55" s="299" t="e">
        <f t="shared" si="20"/>
        <v>#DIV/0!</v>
      </c>
      <c r="AN55" s="299">
        <f t="shared" si="21"/>
        <v>-1</v>
      </c>
    </row>
    <row r="56" spans="2:40">
      <c r="B56" s="302"/>
      <c r="C56" s="302"/>
      <c r="AA56" s="963" t="str">
        <f t="shared" si="22"/>
        <v/>
      </c>
      <c r="AB56" s="299" t="e">
        <f t="shared" si="4"/>
        <v>#DIV/0!</v>
      </c>
      <c r="AC56" s="303" t="e">
        <f t="shared" si="23"/>
        <v>#DIV/0!</v>
      </c>
      <c r="AD56" s="299" t="e">
        <f t="shared" si="5"/>
        <v>#DIV/0!</v>
      </c>
      <c r="AE56" s="299" t="e">
        <f t="shared" si="14"/>
        <v>#DIV/0!</v>
      </c>
      <c r="AF56" s="299" t="e">
        <f t="shared" si="15"/>
        <v>#DIV/0!</v>
      </c>
      <c r="AG56" s="299" t="e">
        <f t="shared" si="16"/>
        <v>#DIV/0!</v>
      </c>
      <c r="AH56" s="299" t="e">
        <f t="shared" si="17"/>
        <v>#DIV/0!</v>
      </c>
      <c r="AI56" s="299" t="e">
        <f t="shared" si="18"/>
        <v>#DIV/0!</v>
      </c>
      <c r="AJ56" s="299" t="b">
        <f t="shared" si="19"/>
        <v>1</v>
      </c>
      <c r="AK56" s="299" t="e">
        <f t="shared" si="24"/>
        <v>#DIV/0!</v>
      </c>
      <c r="AL56" s="299" t="e">
        <f t="shared" si="25"/>
        <v>#DIV/0!</v>
      </c>
      <c r="AM56" s="299" t="e">
        <f t="shared" si="20"/>
        <v>#DIV/0!</v>
      </c>
      <c r="AN56" s="299">
        <f t="shared" si="21"/>
        <v>-1</v>
      </c>
    </row>
    <row r="57" spans="2:40">
      <c r="B57" s="302"/>
      <c r="C57" s="302"/>
      <c r="AA57" s="963" t="str">
        <f t="shared" si="22"/>
        <v/>
      </c>
      <c r="AB57" s="299" t="e">
        <f t="shared" si="4"/>
        <v>#DIV/0!</v>
      </c>
      <c r="AC57" s="303" t="e">
        <f t="shared" si="23"/>
        <v>#DIV/0!</v>
      </c>
      <c r="AD57" s="299" t="e">
        <f t="shared" si="5"/>
        <v>#DIV/0!</v>
      </c>
      <c r="AE57" s="299" t="e">
        <f t="shared" si="14"/>
        <v>#DIV/0!</v>
      </c>
      <c r="AF57" s="299" t="e">
        <f t="shared" si="15"/>
        <v>#DIV/0!</v>
      </c>
      <c r="AG57" s="299" t="e">
        <f t="shared" si="16"/>
        <v>#DIV/0!</v>
      </c>
      <c r="AH57" s="299" t="e">
        <f t="shared" si="17"/>
        <v>#DIV/0!</v>
      </c>
      <c r="AI57" s="299" t="e">
        <f t="shared" si="18"/>
        <v>#DIV/0!</v>
      </c>
      <c r="AJ57" s="299" t="b">
        <f t="shared" si="19"/>
        <v>1</v>
      </c>
      <c r="AK57" s="299" t="e">
        <f t="shared" si="24"/>
        <v>#DIV/0!</v>
      </c>
      <c r="AL57" s="299" t="e">
        <f t="shared" si="25"/>
        <v>#DIV/0!</v>
      </c>
      <c r="AM57" s="299" t="e">
        <f t="shared" si="20"/>
        <v>#DIV/0!</v>
      </c>
      <c r="AN57" s="299">
        <f t="shared" si="21"/>
        <v>-1</v>
      </c>
    </row>
    <row r="58" spans="2:40">
      <c r="B58" s="302"/>
      <c r="C58" s="302"/>
      <c r="AA58" s="963" t="str">
        <f t="shared" si="22"/>
        <v/>
      </c>
      <c r="AB58" s="299" t="e">
        <f t="shared" si="4"/>
        <v>#DIV/0!</v>
      </c>
      <c r="AC58" s="303" t="e">
        <f t="shared" si="23"/>
        <v>#DIV/0!</v>
      </c>
      <c r="AD58" s="299" t="e">
        <f t="shared" si="5"/>
        <v>#DIV/0!</v>
      </c>
      <c r="AE58" s="299" t="e">
        <f t="shared" si="14"/>
        <v>#DIV/0!</v>
      </c>
      <c r="AF58" s="299" t="e">
        <f t="shared" si="15"/>
        <v>#DIV/0!</v>
      </c>
      <c r="AG58" s="299" t="e">
        <f t="shared" si="16"/>
        <v>#DIV/0!</v>
      </c>
      <c r="AH58" s="299" t="e">
        <f t="shared" si="17"/>
        <v>#DIV/0!</v>
      </c>
      <c r="AI58" s="299" t="e">
        <f t="shared" si="18"/>
        <v>#DIV/0!</v>
      </c>
      <c r="AJ58" s="299" t="b">
        <f t="shared" si="19"/>
        <v>1</v>
      </c>
      <c r="AK58" s="299" t="e">
        <f t="shared" si="24"/>
        <v>#DIV/0!</v>
      </c>
      <c r="AL58" s="299" t="e">
        <f t="shared" si="25"/>
        <v>#DIV/0!</v>
      </c>
      <c r="AM58" s="299" t="e">
        <f t="shared" si="20"/>
        <v>#DIV/0!</v>
      </c>
      <c r="AN58" s="299">
        <f t="shared" si="21"/>
        <v>-1</v>
      </c>
    </row>
    <row r="59" spans="2:40">
      <c r="B59" s="302"/>
      <c r="C59" s="302"/>
      <c r="AA59" s="963" t="str">
        <f t="shared" si="22"/>
        <v/>
      </c>
      <c r="AB59" s="299" t="e">
        <f t="shared" si="4"/>
        <v>#DIV/0!</v>
      </c>
      <c r="AC59" s="303" t="e">
        <f t="shared" si="23"/>
        <v>#DIV/0!</v>
      </c>
      <c r="AD59" s="299" t="e">
        <f t="shared" si="5"/>
        <v>#DIV/0!</v>
      </c>
      <c r="AE59" s="299" t="e">
        <f t="shared" si="14"/>
        <v>#DIV/0!</v>
      </c>
      <c r="AF59" s="299" t="e">
        <f t="shared" si="15"/>
        <v>#DIV/0!</v>
      </c>
      <c r="AG59" s="299" t="e">
        <f t="shared" si="16"/>
        <v>#DIV/0!</v>
      </c>
      <c r="AH59" s="299" t="e">
        <f t="shared" si="17"/>
        <v>#DIV/0!</v>
      </c>
      <c r="AI59" s="299" t="e">
        <f t="shared" si="18"/>
        <v>#DIV/0!</v>
      </c>
      <c r="AJ59" s="299" t="b">
        <f t="shared" si="19"/>
        <v>1</v>
      </c>
      <c r="AK59" s="299" t="e">
        <f t="shared" si="24"/>
        <v>#DIV/0!</v>
      </c>
      <c r="AL59" s="299" t="e">
        <f t="shared" si="25"/>
        <v>#DIV/0!</v>
      </c>
      <c r="AM59" s="299" t="e">
        <f t="shared" si="20"/>
        <v>#DIV/0!</v>
      </c>
      <c r="AN59" s="299">
        <f t="shared" si="21"/>
        <v>-1</v>
      </c>
    </row>
    <row r="60" spans="2:40">
      <c r="B60" s="302"/>
      <c r="C60" s="302"/>
      <c r="AA60" s="963" t="str">
        <f t="shared" si="22"/>
        <v/>
      </c>
      <c r="AB60" s="299" t="e">
        <f t="shared" si="4"/>
        <v>#DIV/0!</v>
      </c>
      <c r="AC60" s="303" t="e">
        <f t="shared" si="23"/>
        <v>#DIV/0!</v>
      </c>
      <c r="AD60" s="299" t="e">
        <f t="shared" si="5"/>
        <v>#DIV/0!</v>
      </c>
      <c r="AE60" s="299" t="e">
        <f t="shared" si="14"/>
        <v>#DIV/0!</v>
      </c>
      <c r="AF60" s="299" t="e">
        <f t="shared" si="15"/>
        <v>#DIV/0!</v>
      </c>
      <c r="AG60" s="299" t="e">
        <f t="shared" si="16"/>
        <v>#DIV/0!</v>
      </c>
      <c r="AH60" s="299" t="e">
        <f t="shared" si="17"/>
        <v>#DIV/0!</v>
      </c>
      <c r="AI60" s="299" t="e">
        <f t="shared" si="18"/>
        <v>#DIV/0!</v>
      </c>
      <c r="AJ60" s="299" t="b">
        <f t="shared" si="19"/>
        <v>1</v>
      </c>
      <c r="AK60" s="299" t="e">
        <f t="shared" si="24"/>
        <v>#DIV/0!</v>
      </c>
      <c r="AL60" s="299" t="e">
        <f t="shared" si="25"/>
        <v>#DIV/0!</v>
      </c>
      <c r="AM60" s="299" t="e">
        <f t="shared" si="20"/>
        <v>#DIV/0!</v>
      </c>
      <c r="AN60" s="299">
        <f t="shared" si="21"/>
        <v>-1</v>
      </c>
    </row>
    <row r="61" spans="2:40">
      <c r="B61" s="302"/>
      <c r="C61" s="302"/>
      <c r="AA61" s="963" t="str">
        <f t="shared" si="22"/>
        <v/>
      </c>
      <c r="AB61" s="299" t="e">
        <f t="shared" si="4"/>
        <v>#DIV/0!</v>
      </c>
      <c r="AC61" s="303" t="e">
        <f t="shared" si="23"/>
        <v>#DIV/0!</v>
      </c>
      <c r="AD61" s="299" t="e">
        <f t="shared" si="5"/>
        <v>#DIV/0!</v>
      </c>
      <c r="AE61" s="299" t="e">
        <f t="shared" si="14"/>
        <v>#DIV/0!</v>
      </c>
      <c r="AF61" s="299" t="e">
        <f t="shared" si="15"/>
        <v>#DIV/0!</v>
      </c>
      <c r="AG61" s="299" t="e">
        <f t="shared" si="16"/>
        <v>#DIV/0!</v>
      </c>
      <c r="AH61" s="299" t="e">
        <f t="shared" si="17"/>
        <v>#DIV/0!</v>
      </c>
      <c r="AI61" s="299" t="e">
        <f t="shared" si="18"/>
        <v>#DIV/0!</v>
      </c>
      <c r="AJ61" s="299" t="b">
        <f t="shared" si="19"/>
        <v>1</v>
      </c>
      <c r="AK61" s="299" t="e">
        <f t="shared" si="24"/>
        <v>#DIV/0!</v>
      </c>
      <c r="AL61" s="299" t="e">
        <f t="shared" si="25"/>
        <v>#DIV/0!</v>
      </c>
      <c r="AM61" s="299" t="e">
        <f t="shared" si="20"/>
        <v>#DIV/0!</v>
      </c>
      <c r="AN61" s="299">
        <f t="shared" si="21"/>
        <v>-1</v>
      </c>
    </row>
    <row r="62" spans="2:40">
      <c r="B62" s="302"/>
      <c r="C62" s="302"/>
      <c r="AA62" s="963" t="str">
        <f t="shared" si="22"/>
        <v/>
      </c>
      <c r="AB62" s="299" t="e">
        <f t="shared" si="4"/>
        <v>#DIV/0!</v>
      </c>
      <c r="AC62" s="303" t="e">
        <f t="shared" si="23"/>
        <v>#DIV/0!</v>
      </c>
      <c r="AD62" s="299" t="e">
        <f t="shared" si="5"/>
        <v>#DIV/0!</v>
      </c>
      <c r="AE62" s="299" t="e">
        <f t="shared" si="14"/>
        <v>#DIV/0!</v>
      </c>
      <c r="AF62" s="299" t="e">
        <f t="shared" si="15"/>
        <v>#DIV/0!</v>
      </c>
      <c r="AG62" s="299" t="e">
        <f t="shared" si="16"/>
        <v>#DIV/0!</v>
      </c>
      <c r="AH62" s="299" t="e">
        <f t="shared" si="17"/>
        <v>#DIV/0!</v>
      </c>
      <c r="AI62" s="299" t="e">
        <f t="shared" si="18"/>
        <v>#DIV/0!</v>
      </c>
      <c r="AJ62" s="299" t="b">
        <f t="shared" si="19"/>
        <v>1</v>
      </c>
      <c r="AK62" s="299" t="e">
        <f t="shared" si="24"/>
        <v>#DIV/0!</v>
      </c>
      <c r="AL62" s="299" t="e">
        <f t="shared" si="25"/>
        <v>#DIV/0!</v>
      </c>
      <c r="AM62" s="299" t="e">
        <f t="shared" si="20"/>
        <v>#DIV/0!</v>
      </c>
      <c r="AN62" s="299">
        <f t="shared" si="21"/>
        <v>-1</v>
      </c>
    </row>
    <row r="63" spans="2:40">
      <c r="B63" s="302"/>
      <c r="C63" s="302"/>
      <c r="AA63" s="963" t="str">
        <f t="shared" si="22"/>
        <v/>
      </c>
      <c r="AB63" s="299" t="e">
        <f t="shared" si="4"/>
        <v>#DIV/0!</v>
      </c>
      <c r="AC63" s="303" t="e">
        <f t="shared" si="23"/>
        <v>#DIV/0!</v>
      </c>
      <c r="AD63" s="299" t="e">
        <f t="shared" si="5"/>
        <v>#DIV/0!</v>
      </c>
      <c r="AE63" s="299" t="e">
        <f t="shared" si="14"/>
        <v>#DIV/0!</v>
      </c>
      <c r="AF63" s="299" t="e">
        <f t="shared" si="15"/>
        <v>#DIV/0!</v>
      </c>
      <c r="AG63" s="299" t="e">
        <f t="shared" si="16"/>
        <v>#DIV/0!</v>
      </c>
      <c r="AH63" s="299" t="e">
        <f t="shared" si="17"/>
        <v>#DIV/0!</v>
      </c>
      <c r="AI63" s="299" t="e">
        <f t="shared" si="18"/>
        <v>#DIV/0!</v>
      </c>
      <c r="AJ63" s="299" t="b">
        <f t="shared" si="19"/>
        <v>1</v>
      </c>
      <c r="AK63" s="299" t="e">
        <f t="shared" si="24"/>
        <v>#DIV/0!</v>
      </c>
      <c r="AL63" s="299" t="e">
        <f t="shared" si="25"/>
        <v>#DIV/0!</v>
      </c>
      <c r="AM63" s="299" t="e">
        <f t="shared" si="20"/>
        <v>#DIV/0!</v>
      </c>
      <c r="AN63" s="299">
        <f t="shared" si="21"/>
        <v>-1</v>
      </c>
    </row>
    <row r="64" spans="2:40">
      <c r="B64" s="302"/>
      <c r="C64" s="302"/>
      <c r="AA64" s="963" t="str">
        <f t="shared" si="22"/>
        <v/>
      </c>
      <c r="AB64" s="299" t="e">
        <f t="shared" si="4"/>
        <v>#DIV/0!</v>
      </c>
      <c r="AC64" s="303" t="e">
        <f t="shared" si="23"/>
        <v>#DIV/0!</v>
      </c>
      <c r="AD64" s="299" t="e">
        <f t="shared" si="5"/>
        <v>#DIV/0!</v>
      </c>
      <c r="AE64" s="299" t="e">
        <f t="shared" si="14"/>
        <v>#DIV/0!</v>
      </c>
      <c r="AF64" s="299" t="e">
        <f t="shared" si="15"/>
        <v>#DIV/0!</v>
      </c>
      <c r="AG64" s="299" t="e">
        <f t="shared" si="16"/>
        <v>#DIV/0!</v>
      </c>
      <c r="AH64" s="299" t="e">
        <f t="shared" si="17"/>
        <v>#DIV/0!</v>
      </c>
      <c r="AI64" s="299" t="e">
        <f t="shared" si="18"/>
        <v>#DIV/0!</v>
      </c>
      <c r="AJ64" s="299" t="b">
        <f t="shared" si="19"/>
        <v>1</v>
      </c>
      <c r="AK64" s="299" t="e">
        <f t="shared" si="24"/>
        <v>#DIV/0!</v>
      </c>
      <c r="AL64" s="299" t="e">
        <f t="shared" si="25"/>
        <v>#DIV/0!</v>
      </c>
      <c r="AM64" s="299" t="e">
        <f t="shared" si="20"/>
        <v>#DIV/0!</v>
      </c>
      <c r="AN64" s="299">
        <f t="shared" si="21"/>
        <v>-1</v>
      </c>
    </row>
    <row r="65" spans="2:40">
      <c r="B65" s="302"/>
      <c r="C65" s="302"/>
      <c r="AA65" s="963" t="str">
        <f t="shared" si="22"/>
        <v/>
      </c>
      <c r="AB65" s="299" t="e">
        <f t="shared" si="4"/>
        <v>#DIV/0!</v>
      </c>
      <c r="AC65" s="303" t="e">
        <f t="shared" si="23"/>
        <v>#DIV/0!</v>
      </c>
      <c r="AD65" s="299" t="e">
        <f t="shared" si="5"/>
        <v>#DIV/0!</v>
      </c>
      <c r="AE65" s="299" t="e">
        <f t="shared" si="14"/>
        <v>#DIV/0!</v>
      </c>
      <c r="AF65" s="299" t="e">
        <f t="shared" si="15"/>
        <v>#DIV/0!</v>
      </c>
      <c r="AG65" s="299" t="e">
        <f t="shared" si="16"/>
        <v>#DIV/0!</v>
      </c>
      <c r="AH65" s="299" t="e">
        <f t="shared" si="17"/>
        <v>#DIV/0!</v>
      </c>
      <c r="AI65" s="299" t="e">
        <f t="shared" si="18"/>
        <v>#DIV/0!</v>
      </c>
      <c r="AJ65" s="299" t="b">
        <f t="shared" si="19"/>
        <v>1</v>
      </c>
      <c r="AK65" s="299" t="e">
        <f t="shared" si="24"/>
        <v>#DIV/0!</v>
      </c>
      <c r="AL65" s="299" t="e">
        <f t="shared" si="25"/>
        <v>#DIV/0!</v>
      </c>
      <c r="AM65" s="299" t="e">
        <f t="shared" si="20"/>
        <v>#DIV/0!</v>
      </c>
      <c r="AN65" s="299">
        <f t="shared" si="21"/>
        <v>-1</v>
      </c>
    </row>
    <row r="66" spans="2:40">
      <c r="B66" s="302"/>
      <c r="C66" s="302"/>
      <c r="AA66" s="963" t="str">
        <f t="shared" si="22"/>
        <v/>
      </c>
      <c r="AB66" s="299" t="e">
        <f t="shared" si="4"/>
        <v>#DIV/0!</v>
      </c>
      <c r="AC66" s="303" t="e">
        <f t="shared" si="23"/>
        <v>#DIV/0!</v>
      </c>
      <c r="AD66" s="299" t="e">
        <f t="shared" si="5"/>
        <v>#DIV/0!</v>
      </c>
      <c r="AE66" s="299" t="e">
        <f t="shared" si="14"/>
        <v>#DIV/0!</v>
      </c>
      <c r="AF66" s="299" t="e">
        <f t="shared" si="15"/>
        <v>#DIV/0!</v>
      </c>
      <c r="AG66" s="299" t="e">
        <f t="shared" si="16"/>
        <v>#DIV/0!</v>
      </c>
      <c r="AH66" s="299" t="e">
        <f t="shared" si="17"/>
        <v>#DIV/0!</v>
      </c>
      <c r="AI66" s="299" t="e">
        <f t="shared" si="18"/>
        <v>#DIV/0!</v>
      </c>
      <c r="AJ66" s="299" t="b">
        <f t="shared" si="19"/>
        <v>1</v>
      </c>
      <c r="AK66" s="299" t="e">
        <f t="shared" si="24"/>
        <v>#DIV/0!</v>
      </c>
      <c r="AL66" s="299" t="e">
        <f t="shared" si="25"/>
        <v>#DIV/0!</v>
      </c>
      <c r="AM66" s="299" t="e">
        <f t="shared" si="20"/>
        <v>#DIV/0!</v>
      </c>
      <c r="AN66" s="299">
        <f t="shared" si="21"/>
        <v>-1</v>
      </c>
    </row>
    <row r="67" spans="2:40">
      <c r="B67" s="302"/>
      <c r="C67" s="302"/>
      <c r="AA67" s="963" t="str">
        <f t="shared" ref="AA67:AA101" si="26">IF(B66&lt;&gt;"", B66/C66, "")</f>
        <v/>
      </c>
      <c r="AB67" s="299" t="e">
        <f t="shared" si="4"/>
        <v>#DIV/0!</v>
      </c>
      <c r="AC67" s="303" t="e">
        <f t="shared" ref="AC67:AC101" si="27">AVERAGE(AA:AA)</f>
        <v>#DIV/0!</v>
      </c>
      <c r="AD67" s="299" t="e">
        <f t="shared" si="5"/>
        <v>#DIV/0!</v>
      </c>
      <c r="AE67" s="299" t="e">
        <f t="shared" si="14"/>
        <v>#DIV/0!</v>
      </c>
      <c r="AF67" s="299" t="e">
        <f t="shared" si="15"/>
        <v>#DIV/0!</v>
      </c>
      <c r="AG67" s="299" t="e">
        <f t="shared" si="16"/>
        <v>#DIV/0!</v>
      </c>
      <c r="AH67" s="299" t="e">
        <f t="shared" si="17"/>
        <v>#DIV/0!</v>
      </c>
      <c r="AI67" s="299" t="e">
        <f t="shared" si="18"/>
        <v>#DIV/0!</v>
      </c>
      <c r="AJ67" s="299" t="b">
        <f t="shared" si="19"/>
        <v>1</v>
      </c>
      <c r="AK67" s="299" t="e">
        <f t="shared" ref="AK67:AK101" si="28">IF(AA67&gt;AC67+$AB$1*2,1,IF(AA67&lt;AC67-$AB$1*2,-1,0))</f>
        <v>#DIV/0!</v>
      </c>
      <c r="AL67" s="299" t="e">
        <f t="shared" ref="AL67:AL101" si="29">IF(AA67&gt;AC67+$AB$1,1,IF(AA67&lt;AC67-$AB$1,-1,0))</f>
        <v>#DIV/0!</v>
      </c>
      <c r="AM67" s="299" t="e">
        <f t="shared" si="20"/>
        <v>#DIV/0!</v>
      </c>
      <c r="AN67" s="299">
        <f t="shared" si="21"/>
        <v>-1</v>
      </c>
    </row>
    <row r="68" spans="2:40">
      <c r="B68" s="302"/>
      <c r="C68" s="302"/>
      <c r="AA68" s="963" t="str">
        <f t="shared" si="26"/>
        <v/>
      </c>
      <c r="AB68" s="299" t="e">
        <f t="shared" ref="AB68:AB101" si="30">AB67</f>
        <v>#DIV/0!</v>
      </c>
      <c r="AC68" s="303" t="e">
        <f t="shared" si="27"/>
        <v>#DIV/0!</v>
      </c>
      <c r="AD68" s="299" t="e">
        <f t="shared" ref="AD68:AD101" si="31">AD67</f>
        <v>#DIV/0!</v>
      </c>
      <c r="AE68" s="299" t="e">
        <f t="shared" si="14"/>
        <v>#DIV/0!</v>
      </c>
      <c r="AF68" s="299" t="e">
        <f t="shared" si="15"/>
        <v>#DIV/0!</v>
      </c>
      <c r="AG68" s="299" t="e">
        <f t="shared" si="16"/>
        <v>#DIV/0!</v>
      </c>
      <c r="AH68" s="299" t="e">
        <f t="shared" si="17"/>
        <v>#DIV/0!</v>
      </c>
      <c r="AI68" s="299" t="e">
        <f t="shared" si="18"/>
        <v>#DIV/0!</v>
      </c>
      <c r="AJ68" s="299" t="b">
        <f t="shared" si="19"/>
        <v>1</v>
      </c>
      <c r="AK68" s="299" t="e">
        <f t="shared" si="28"/>
        <v>#DIV/0!</v>
      </c>
      <c r="AL68" s="299" t="e">
        <f t="shared" si="29"/>
        <v>#DIV/0!</v>
      </c>
      <c r="AM68" s="299" t="e">
        <f t="shared" si="20"/>
        <v>#DIV/0!</v>
      </c>
      <c r="AN68" s="299">
        <f t="shared" si="21"/>
        <v>-1</v>
      </c>
    </row>
    <row r="69" spans="2:40">
      <c r="B69" s="302"/>
      <c r="C69" s="302"/>
      <c r="AA69" s="963" t="str">
        <f t="shared" si="26"/>
        <v/>
      </c>
      <c r="AB69" s="299" t="e">
        <f t="shared" si="30"/>
        <v>#DIV/0!</v>
      </c>
      <c r="AC69" s="303" t="e">
        <f t="shared" si="27"/>
        <v>#DIV/0!</v>
      </c>
      <c r="AD69" s="299" t="e">
        <f t="shared" si="31"/>
        <v>#DIV/0!</v>
      </c>
      <c r="AE69" s="299" t="e">
        <f t="shared" si="14"/>
        <v>#DIV/0!</v>
      </c>
      <c r="AF69" s="299" t="e">
        <f t="shared" si="15"/>
        <v>#DIV/0!</v>
      </c>
      <c r="AG69" s="299" t="e">
        <f t="shared" si="16"/>
        <v>#DIV/0!</v>
      </c>
      <c r="AH69" s="299" t="e">
        <f t="shared" si="17"/>
        <v>#DIV/0!</v>
      </c>
      <c r="AI69" s="299" t="e">
        <f t="shared" si="18"/>
        <v>#DIV/0!</v>
      </c>
      <c r="AJ69" s="299" t="b">
        <f t="shared" si="19"/>
        <v>1</v>
      </c>
      <c r="AK69" s="299" t="e">
        <f t="shared" si="28"/>
        <v>#DIV/0!</v>
      </c>
      <c r="AL69" s="299" t="e">
        <f t="shared" si="29"/>
        <v>#DIV/0!</v>
      </c>
      <c r="AM69" s="299" t="e">
        <f t="shared" si="20"/>
        <v>#DIV/0!</v>
      </c>
      <c r="AN69" s="299">
        <f t="shared" si="21"/>
        <v>-1</v>
      </c>
    </row>
    <row r="70" spans="2:40">
      <c r="B70" s="302"/>
      <c r="C70" s="302"/>
      <c r="AA70" s="963" t="str">
        <f t="shared" si="26"/>
        <v/>
      </c>
      <c r="AB70" s="299" t="e">
        <f t="shared" si="30"/>
        <v>#DIV/0!</v>
      </c>
      <c r="AC70" s="303" t="e">
        <f t="shared" si="27"/>
        <v>#DIV/0!</v>
      </c>
      <c r="AD70" s="299" t="e">
        <f t="shared" si="31"/>
        <v>#DIV/0!</v>
      </c>
      <c r="AE70" s="299" t="e">
        <f t="shared" si="14"/>
        <v>#DIV/0!</v>
      </c>
      <c r="AF70" s="299" t="e">
        <f t="shared" si="15"/>
        <v>#DIV/0!</v>
      </c>
      <c r="AG70" s="299" t="e">
        <f t="shared" si="16"/>
        <v>#DIV/0!</v>
      </c>
      <c r="AH70" s="299" t="e">
        <f t="shared" si="17"/>
        <v>#DIV/0!</v>
      </c>
      <c r="AI70" s="299" t="e">
        <f t="shared" si="18"/>
        <v>#DIV/0!</v>
      </c>
      <c r="AJ70" s="299" t="b">
        <f t="shared" si="19"/>
        <v>1</v>
      </c>
      <c r="AK70" s="299" t="e">
        <f t="shared" si="28"/>
        <v>#DIV/0!</v>
      </c>
      <c r="AL70" s="299" t="e">
        <f t="shared" si="29"/>
        <v>#DIV/0!</v>
      </c>
      <c r="AM70" s="299" t="e">
        <f t="shared" si="20"/>
        <v>#DIV/0!</v>
      </c>
      <c r="AN70" s="299">
        <f t="shared" si="21"/>
        <v>-1</v>
      </c>
    </row>
    <row r="71" spans="2:40">
      <c r="B71" s="302"/>
      <c r="C71" s="302"/>
      <c r="AA71" s="963" t="str">
        <f t="shared" si="26"/>
        <v/>
      </c>
      <c r="AB71" s="299" t="e">
        <f t="shared" si="30"/>
        <v>#DIV/0!</v>
      </c>
      <c r="AC71" s="303" t="e">
        <f t="shared" si="27"/>
        <v>#DIV/0!</v>
      </c>
      <c r="AD71" s="299" t="e">
        <f t="shared" si="31"/>
        <v>#DIV/0!</v>
      </c>
      <c r="AE71" s="299" t="e">
        <f t="shared" si="14"/>
        <v>#DIV/0!</v>
      </c>
      <c r="AF71" s="299" t="e">
        <f t="shared" si="15"/>
        <v>#DIV/0!</v>
      </c>
      <c r="AG71" s="299" t="e">
        <f t="shared" si="16"/>
        <v>#DIV/0!</v>
      </c>
      <c r="AH71" s="299" t="e">
        <f t="shared" si="17"/>
        <v>#DIV/0!</v>
      </c>
      <c r="AI71" s="299" t="e">
        <f t="shared" si="18"/>
        <v>#DIV/0!</v>
      </c>
      <c r="AJ71" s="299" t="b">
        <f t="shared" si="19"/>
        <v>1</v>
      </c>
      <c r="AK71" s="299" t="e">
        <f t="shared" si="28"/>
        <v>#DIV/0!</v>
      </c>
      <c r="AL71" s="299" t="e">
        <f t="shared" si="29"/>
        <v>#DIV/0!</v>
      </c>
      <c r="AM71" s="299" t="e">
        <f t="shared" si="20"/>
        <v>#DIV/0!</v>
      </c>
      <c r="AN71" s="299">
        <f t="shared" si="21"/>
        <v>-1</v>
      </c>
    </row>
    <row r="72" spans="2:40">
      <c r="B72" s="302"/>
      <c r="C72" s="302"/>
      <c r="AA72" s="963" t="str">
        <f t="shared" si="26"/>
        <v/>
      </c>
      <c r="AB72" s="299" t="e">
        <f t="shared" si="30"/>
        <v>#DIV/0!</v>
      </c>
      <c r="AC72" s="303" t="e">
        <f t="shared" si="27"/>
        <v>#DIV/0!</v>
      </c>
      <c r="AD72" s="299" t="e">
        <f t="shared" si="31"/>
        <v>#DIV/0!</v>
      </c>
      <c r="AE72" s="299" t="e">
        <f t="shared" si="14"/>
        <v>#DIV/0!</v>
      </c>
      <c r="AF72" s="299" t="e">
        <f t="shared" si="15"/>
        <v>#DIV/0!</v>
      </c>
      <c r="AG72" s="299" t="e">
        <f t="shared" si="16"/>
        <v>#DIV/0!</v>
      </c>
      <c r="AH72" s="299" t="e">
        <f t="shared" si="17"/>
        <v>#DIV/0!</v>
      </c>
      <c r="AI72" s="299" t="e">
        <f t="shared" si="18"/>
        <v>#DIV/0!</v>
      </c>
      <c r="AJ72" s="299" t="b">
        <f t="shared" si="19"/>
        <v>1</v>
      </c>
      <c r="AK72" s="299" t="e">
        <f t="shared" si="28"/>
        <v>#DIV/0!</v>
      </c>
      <c r="AL72" s="299" t="e">
        <f t="shared" si="29"/>
        <v>#DIV/0!</v>
      </c>
      <c r="AM72" s="299" t="e">
        <f t="shared" si="20"/>
        <v>#DIV/0!</v>
      </c>
      <c r="AN72" s="299">
        <f t="shared" si="21"/>
        <v>-1</v>
      </c>
    </row>
    <row r="73" spans="2:40">
      <c r="B73" s="302"/>
      <c r="C73" s="302"/>
      <c r="AA73" s="963" t="str">
        <f t="shared" si="26"/>
        <v/>
      </c>
      <c r="AB73" s="299" t="e">
        <f t="shared" si="30"/>
        <v>#DIV/0!</v>
      </c>
      <c r="AC73" s="303" t="e">
        <f t="shared" si="27"/>
        <v>#DIV/0!</v>
      </c>
      <c r="AD73" s="299" t="e">
        <f t="shared" si="31"/>
        <v>#DIV/0!</v>
      </c>
      <c r="AE73" s="299" t="e">
        <f t="shared" si="14"/>
        <v>#DIV/0!</v>
      </c>
      <c r="AF73" s="299" t="e">
        <f t="shared" si="15"/>
        <v>#DIV/0!</v>
      </c>
      <c r="AG73" s="299" t="e">
        <f t="shared" si="16"/>
        <v>#DIV/0!</v>
      </c>
      <c r="AH73" s="299" t="e">
        <f t="shared" si="17"/>
        <v>#DIV/0!</v>
      </c>
      <c r="AI73" s="299" t="e">
        <f t="shared" si="18"/>
        <v>#DIV/0!</v>
      </c>
      <c r="AJ73" s="299" t="b">
        <f t="shared" si="19"/>
        <v>1</v>
      </c>
      <c r="AK73" s="299" t="e">
        <f t="shared" si="28"/>
        <v>#DIV/0!</v>
      </c>
      <c r="AL73" s="299" t="e">
        <f t="shared" si="29"/>
        <v>#DIV/0!</v>
      </c>
      <c r="AM73" s="299" t="e">
        <f t="shared" si="20"/>
        <v>#DIV/0!</v>
      </c>
      <c r="AN73" s="299">
        <f t="shared" si="21"/>
        <v>-1</v>
      </c>
    </row>
    <row r="74" spans="2:40">
      <c r="B74" s="302"/>
      <c r="C74" s="302"/>
      <c r="AA74" s="963" t="str">
        <f t="shared" si="26"/>
        <v/>
      </c>
      <c r="AB74" s="299" t="e">
        <f t="shared" si="30"/>
        <v>#DIV/0!</v>
      </c>
      <c r="AC74" s="303" t="e">
        <f t="shared" si="27"/>
        <v>#DIV/0!</v>
      </c>
      <c r="AD74" s="299" t="e">
        <f t="shared" si="31"/>
        <v>#DIV/0!</v>
      </c>
      <c r="AE74" s="299" t="e">
        <f t="shared" si="14"/>
        <v>#DIV/0!</v>
      </c>
      <c r="AF74" s="299" t="e">
        <f t="shared" si="15"/>
        <v>#DIV/0!</v>
      </c>
      <c r="AG74" s="299" t="e">
        <f t="shared" si="16"/>
        <v>#DIV/0!</v>
      </c>
      <c r="AH74" s="299" t="e">
        <f t="shared" si="17"/>
        <v>#DIV/0!</v>
      </c>
      <c r="AI74" s="299" t="e">
        <f t="shared" si="18"/>
        <v>#DIV/0!</v>
      </c>
      <c r="AJ74" s="299" t="b">
        <f t="shared" si="19"/>
        <v>1</v>
      </c>
      <c r="AK74" s="299" t="e">
        <f t="shared" si="28"/>
        <v>#DIV/0!</v>
      </c>
      <c r="AL74" s="299" t="e">
        <f t="shared" si="29"/>
        <v>#DIV/0!</v>
      </c>
      <c r="AM74" s="299" t="e">
        <f t="shared" si="20"/>
        <v>#DIV/0!</v>
      </c>
      <c r="AN74" s="299">
        <f t="shared" si="21"/>
        <v>-1</v>
      </c>
    </row>
    <row r="75" spans="2:40">
      <c r="B75" s="302"/>
      <c r="C75" s="302"/>
      <c r="AA75" s="963" t="str">
        <f t="shared" si="26"/>
        <v/>
      </c>
      <c r="AB75" s="299" t="e">
        <f t="shared" si="30"/>
        <v>#DIV/0!</v>
      </c>
      <c r="AC75" s="303" t="e">
        <f t="shared" si="27"/>
        <v>#DIV/0!</v>
      </c>
      <c r="AD75" s="299" t="e">
        <f t="shared" si="31"/>
        <v>#DIV/0!</v>
      </c>
      <c r="AE75" s="299" t="e">
        <f t="shared" si="14"/>
        <v>#DIV/0!</v>
      </c>
      <c r="AF75" s="299" t="e">
        <f t="shared" si="15"/>
        <v>#DIV/0!</v>
      </c>
      <c r="AG75" s="299" t="e">
        <f t="shared" si="16"/>
        <v>#DIV/0!</v>
      </c>
      <c r="AH75" s="299" t="e">
        <f t="shared" si="17"/>
        <v>#DIV/0!</v>
      </c>
      <c r="AI75" s="299" t="e">
        <f t="shared" si="18"/>
        <v>#DIV/0!</v>
      </c>
      <c r="AJ75" s="299" t="b">
        <f t="shared" si="19"/>
        <v>1</v>
      </c>
      <c r="AK75" s="299" t="e">
        <f t="shared" si="28"/>
        <v>#DIV/0!</v>
      </c>
      <c r="AL75" s="299" t="e">
        <f t="shared" si="29"/>
        <v>#DIV/0!</v>
      </c>
      <c r="AM75" s="299" t="e">
        <f t="shared" si="20"/>
        <v>#DIV/0!</v>
      </c>
      <c r="AN75" s="299">
        <f t="shared" si="21"/>
        <v>-1</v>
      </c>
    </row>
    <row r="76" spans="2:40">
      <c r="B76" s="302"/>
      <c r="C76" s="302"/>
      <c r="AA76" s="963" t="str">
        <f t="shared" si="26"/>
        <v/>
      </c>
      <c r="AB76" s="299" t="e">
        <f t="shared" si="30"/>
        <v>#DIV/0!</v>
      </c>
      <c r="AC76" s="303" t="e">
        <f t="shared" si="27"/>
        <v>#DIV/0!</v>
      </c>
      <c r="AD76" s="299" t="e">
        <f t="shared" si="31"/>
        <v>#DIV/0!</v>
      </c>
      <c r="AE76" s="299" t="e">
        <f t="shared" si="14"/>
        <v>#DIV/0!</v>
      </c>
      <c r="AF76" s="299" t="e">
        <f t="shared" si="15"/>
        <v>#DIV/0!</v>
      </c>
      <c r="AG76" s="299" t="e">
        <f t="shared" si="16"/>
        <v>#DIV/0!</v>
      </c>
      <c r="AH76" s="299" t="e">
        <f t="shared" si="17"/>
        <v>#DIV/0!</v>
      </c>
      <c r="AI76" s="299" t="e">
        <f t="shared" si="18"/>
        <v>#DIV/0!</v>
      </c>
      <c r="AJ76" s="299" t="b">
        <f t="shared" si="19"/>
        <v>1</v>
      </c>
      <c r="AK76" s="299" t="e">
        <f t="shared" si="28"/>
        <v>#DIV/0!</v>
      </c>
      <c r="AL76" s="299" t="e">
        <f t="shared" si="29"/>
        <v>#DIV/0!</v>
      </c>
      <c r="AM76" s="299" t="e">
        <f t="shared" si="20"/>
        <v>#DIV/0!</v>
      </c>
      <c r="AN76" s="299">
        <f t="shared" si="21"/>
        <v>-1</v>
      </c>
    </row>
    <row r="77" spans="2:40">
      <c r="B77" s="302"/>
      <c r="C77" s="302"/>
      <c r="AA77" s="963" t="str">
        <f t="shared" si="26"/>
        <v/>
      </c>
      <c r="AB77" s="299" t="e">
        <f t="shared" si="30"/>
        <v>#DIV/0!</v>
      </c>
      <c r="AC77" s="303" t="e">
        <f t="shared" si="27"/>
        <v>#DIV/0!</v>
      </c>
      <c r="AD77" s="299" t="e">
        <f t="shared" si="31"/>
        <v>#DIV/0!</v>
      </c>
      <c r="AE77" s="299" t="e">
        <f t="shared" si="14"/>
        <v>#DIV/0!</v>
      </c>
      <c r="AF77" s="299" t="e">
        <f t="shared" si="15"/>
        <v>#DIV/0!</v>
      </c>
      <c r="AG77" s="299" t="e">
        <f t="shared" si="16"/>
        <v>#DIV/0!</v>
      </c>
      <c r="AH77" s="299" t="e">
        <f t="shared" si="17"/>
        <v>#DIV/0!</v>
      </c>
      <c r="AI77" s="299" t="e">
        <f t="shared" si="18"/>
        <v>#DIV/0!</v>
      </c>
      <c r="AJ77" s="299" t="b">
        <f t="shared" si="19"/>
        <v>1</v>
      </c>
      <c r="AK77" s="299" t="e">
        <f t="shared" si="28"/>
        <v>#DIV/0!</v>
      </c>
      <c r="AL77" s="299" t="e">
        <f t="shared" si="29"/>
        <v>#DIV/0!</v>
      </c>
      <c r="AM77" s="299" t="e">
        <f t="shared" si="20"/>
        <v>#DIV/0!</v>
      </c>
      <c r="AN77" s="299">
        <f t="shared" si="21"/>
        <v>-1</v>
      </c>
    </row>
    <row r="78" spans="2:40">
      <c r="B78" s="302"/>
      <c r="C78" s="302"/>
      <c r="AA78" s="963" t="str">
        <f t="shared" si="26"/>
        <v/>
      </c>
      <c r="AB78" s="299" t="e">
        <f t="shared" si="30"/>
        <v>#DIV/0!</v>
      </c>
      <c r="AC78" s="303" t="e">
        <f t="shared" si="27"/>
        <v>#DIV/0!</v>
      </c>
      <c r="AD78" s="299" t="e">
        <f t="shared" si="31"/>
        <v>#DIV/0!</v>
      </c>
      <c r="AE78" s="299" t="e">
        <f t="shared" si="14"/>
        <v>#DIV/0!</v>
      </c>
      <c r="AF78" s="299" t="e">
        <f t="shared" si="15"/>
        <v>#DIV/0!</v>
      </c>
      <c r="AG78" s="299" t="e">
        <f t="shared" si="16"/>
        <v>#DIV/0!</v>
      </c>
      <c r="AH78" s="299" t="e">
        <f t="shared" si="17"/>
        <v>#DIV/0!</v>
      </c>
      <c r="AI78" s="299" t="e">
        <f t="shared" si="18"/>
        <v>#DIV/0!</v>
      </c>
      <c r="AJ78" s="299" t="b">
        <f t="shared" si="19"/>
        <v>1</v>
      </c>
      <c r="AK78" s="299" t="e">
        <f t="shared" si="28"/>
        <v>#DIV/0!</v>
      </c>
      <c r="AL78" s="299" t="e">
        <f t="shared" si="29"/>
        <v>#DIV/0!</v>
      </c>
      <c r="AM78" s="299" t="e">
        <f t="shared" si="20"/>
        <v>#DIV/0!</v>
      </c>
      <c r="AN78" s="299">
        <f t="shared" si="21"/>
        <v>-1</v>
      </c>
    </row>
    <row r="79" spans="2:40">
      <c r="B79" s="302"/>
      <c r="C79" s="302"/>
      <c r="AA79" s="963" t="str">
        <f t="shared" si="26"/>
        <v/>
      </c>
      <c r="AB79" s="299" t="e">
        <f t="shared" si="30"/>
        <v>#DIV/0!</v>
      </c>
      <c r="AC79" s="303" t="e">
        <f t="shared" si="27"/>
        <v>#DIV/0!</v>
      </c>
      <c r="AD79" s="299" t="e">
        <f t="shared" si="31"/>
        <v>#DIV/0!</v>
      </c>
      <c r="AE79" s="299" t="e">
        <f t="shared" si="14"/>
        <v>#DIV/0!</v>
      </c>
      <c r="AF79" s="299" t="e">
        <f t="shared" si="15"/>
        <v>#DIV/0!</v>
      </c>
      <c r="AG79" s="299" t="e">
        <f t="shared" si="16"/>
        <v>#DIV/0!</v>
      </c>
      <c r="AH79" s="299" t="e">
        <f t="shared" si="17"/>
        <v>#DIV/0!</v>
      </c>
      <c r="AI79" s="299" t="e">
        <f t="shared" si="18"/>
        <v>#DIV/0!</v>
      </c>
      <c r="AJ79" s="299" t="b">
        <f t="shared" si="19"/>
        <v>1</v>
      </c>
      <c r="AK79" s="299" t="e">
        <f t="shared" si="28"/>
        <v>#DIV/0!</v>
      </c>
      <c r="AL79" s="299" t="e">
        <f t="shared" si="29"/>
        <v>#DIV/0!</v>
      </c>
      <c r="AM79" s="299" t="e">
        <f t="shared" si="20"/>
        <v>#DIV/0!</v>
      </c>
      <c r="AN79" s="299">
        <f t="shared" si="21"/>
        <v>-1</v>
      </c>
    </row>
    <row r="80" spans="2:40">
      <c r="B80" s="302"/>
      <c r="C80" s="302"/>
      <c r="AA80" s="963" t="str">
        <f t="shared" si="26"/>
        <v/>
      </c>
      <c r="AB80" s="299" t="e">
        <f t="shared" si="30"/>
        <v>#DIV/0!</v>
      </c>
      <c r="AC80" s="303" t="e">
        <f t="shared" si="27"/>
        <v>#DIV/0!</v>
      </c>
      <c r="AD80" s="299" t="e">
        <f t="shared" si="31"/>
        <v>#DIV/0!</v>
      </c>
      <c r="AE80" s="299" t="e">
        <f t="shared" si="14"/>
        <v>#DIV/0!</v>
      </c>
      <c r="AF80" s="299" t="e">
        <f t="shared" si="15"/>
        <v>#DIV/0!</v>
      </c>
      <c r="AG80" s="299" t="e">
        <f t="shared" si="16"/>
        <v>#DIV/0!</v>
      </c>
      <c r="AH80" s="299" t="e">
        <f t="shared" si="17"/>
        <v>#DIV/0!</v>
      </c>
      <c r="AI80" s="299" t="e">
        <f t="shared" si="18"/>
        <v>#DIV/0!</v>
      </c>
      <c r="AJ80" s="299" t="b">
        <f t="shared" si="19"/>
        <v>1</v>
      </c>
      <c r="AK80" s="299" t="e">
        <f t="shared" si="28"/>
        <v>#DIV/0!</v>
      </c>
      <c r="AL80" s="299" t="e">
        <f t="shared" si="29"/>
        <v>#DIV/0!</v>
      </c>
      <c r="AM80" s="299" t="e">
        <f t="shared" si="20"/>
        <v>#DIV/0!</v>
      </c>
      <c r="AN80" s="299">
        <f t="shared" si="21"/>
        <v>-1</v>
      </c>
    </row>
    <row r="81" spans="2:40">
      <c r="B81" s="302"/>
      <c r="C81" s="302"/>
      <c r="AA81" s="963" t="str">
        <f t="shared" si="26"/>
        <v/>
      </c>
      <c r="AB81" s="299" t="e">
        <f t="shared" si="30"/>
        <v>#DIV/0!</v>
      </c>
      <c r="AC81" s="303" t="e">
        <f t="shared" si="27"/>
        <v>#DIV/0!</v>
      </c>
      <c r="AD81" s="299" t="e">
        <f t="shared" si="31"/>
        <v>#DIV/0!</v>
      </c>
      <c r="AE81" s="299" t="e">
        <f t="shared" si="14"/>
        <v>#DIV/0!</v>
      </c>
      <c r="AF81" s="299" t="e">
        <f t="shared" si="15"/>
        <v>#DIV/0!</v>
      </c>
      <c r="AG81" s="299" t="e">
        <f t="shared" si="16"/>
        <v>#DIV/0!</v>
      </c>
      <c r="AH81" s="299" t="e">
        <f t="shared" si="17"/>
        <v>#DIV/0!</v>
      </c>
      <c r="AI81" s="299" t="e">
        <f t="shared" si="18"/>
        <v>#DIV/0!</v>
      </c>
      <c r="AJ81" s="299" t="b">
        <f t="shared" si="19"/>
        <v>1</v>
      </c>
      <c r="AK81" s="299" t="e">
        <f t="shared" si="28"/>
        <v>#DIV/0!</v>
      </c>
      <c r="AL81" s="299" t="e">
        <f t="shared" si="29"/>
        <v>#DIV/0!</v>
      </c>
      <c r="AM81" s="299" t="e">
        <f t="shared" si="20"/>
        <v>#DIV/0!</v>
      </c>
      <c r="AN81" s="299">
        <f t="shared" si="21"/>
        <v>-1</v>
      </c>
    </row>
    <row r="82" spans="2:40">
      <c r="B82" s="302"/>
      <c r="C82" s="302"/>
      <c r="AA82" s="963" t="str">
        <f t="shared" si="26"/>
        <v/>
      </c>
      <c r="AB82" s="299" t="e">
        <f t="shared" si="30"/>
        <v>#DIV/0!</v>
      </c>
      <c r="AC82" s="303" t="e">
        <f t="shared" si="27"/>
        <v>#DIV/0!</v>
      </c>
      <c r="AD82" s="299" t="e">
        <f t="shared" si="31"/>
        <v>#DIV/0!</v>
      </c>
      <c r="AE82" s="299" t="e">
        <f t="shared" si="14"/>
        <v>#DIV/0!</v>
      </c>
      <c r="AF82" s="299" t="e">
        <f t="shared" si="15"/>
        <v>#DIV/0!</v>
      </c>
      <c r="AG82" s="299" t="e">
        <f t="shared" si="16"/>
        <v>#DIV/0!</v>
      </c>
      <c r="AH82" s="299" t="e">
        <f t="shared" si="17"/>
        <v>#DIV/0!</v>
      </c>
      <c r="AI82" s="299" t="e">
        <f t="shared" si="18"/>
        <v>#DIV/0!</v>
      </c>
      <c r="AJ82" s="299" t="b">
        <f t="shared" si="19"/>
        <v>1</v>
      </c>
      <c r="AK82" s="299" t="e">
        <f t="shared" si="28"/>
        <v>#DIV/0!</v>
      </c>
      <c r="AL82" s="299" t="e">
        <f t="shared" si="29"/>
        <v>#DIV/0!</v>
      </c>
      <c r="AM82" s="299" t="e">
        <f t="shared" si="20"/>
        <v>#DIV/0!</v>
      </c>
      <c r="AN82" s="299">
        <f t="shared" si="21"/>
        <v>-1</v>
      </c>
    </row>
    <row r="83" spans="2:40">
      <c r="B83" s="302"/>
      <c r="C83" s="302"/>
      <c r="AA83" s="963" t="str">
        <f t="shared" si="26"/>
        <v/>
      </c>
      <c r="AB83" s="299" t="e">
        <f t="shared" si="30"/>
        <v>#DIV/0!</v>
      </c>
      <c r="AC83" s="303" t="e">
        <f t="shared" si="27"/>
        <v>#DIV/0!</v>
      </c>
      <c r="AD83" s="299" t="e">
        <f t="shared" si="31"/>
        <v>#DIV/0!</v>
      </c>
      <c r="AE83" s="299" t="e">
        <f t="shared" si="14"/>
        <v>#DIV/0!</v>
      </c>
      <c r="AF83" s="299" t="e">
        <f t="shared" si="15"/>
        <v>#DIV/0!</v>
      </c>
      <c r="AG83" s="299" t="e">
        <f t="shared" si="16"/>
        <v>#DIV/0!</v>
      </c>
      <c r="AH83" s="299" t="e">
        <f t="shared" si="17"/>
        <v>#DIV/0!</v>
      </c>
      <c r="AI83" s="299" t="e">
        <f t="shared" si="18"/>
        <v>#DIV/0!</v>
      </c>
      <c r="AJ83" s="299" t="b">
        <f t="shared" si="19"/>
        <v>1</v>
      </c>
      <c r="AK83" s="299" t="e">
        <f t="shared" si="28"/>
        <v>#DIV/0!</v>
      </c>
      <c r="AL83" s="299" t="e">
        <f t="shared" si="29"/>
        <v>#DIV/0!</v>
      </c>
      <c r="AM83" s="299" t="e">
        <f t="shared" si="20"/>
        <v>#DIV/0!</v>
      </c>
      <c r="AN83" s="299">
        <f t="shared" si="21"/>
        <v>-1</v>
      </c>
    </row>
    <row r="84" spans="2:40">
      <c r="B84" s="302"/>
      <c r="C84" s="302"/>
      <c r="AA84" s="963" t="str">
        <f t="shared" si="26"/>
        <v/>
      </c>
      <c r="AB84" s="299" t="e">
        <f t="shared" si="30"/>
        <v>#DIV/0!</v>
      </c>
      <c r="AC84" s="303" t="e">
        <f t="shared" si="27"/>
        <v>#DIV/0!</v>
      </c>
      <c r="AD84" s="299" t="e">
        <f t="shared" si="31"/>
        <v>#DIV/0!</v>
      </c>
      <c r="AE84" s="299" t="e">
        <f t="shared" si="14"/>
        <v>#DIV/0!</v>
      </c>
      <c r="AF84" s="299" t="e">
        <f t="shared" si="15"/>
        <v>#DIV/0!</v>
      </c>
      <c r="AG84" s="299" t="e">
        <f t="shared" si="16"/>
        <v>#DIV/0!</v>
      </c>
      <c r="AH84" s="299" t="e">
        <f t="shared" si="17"/>
        <v>#DIV/0!</v>
      </c>
      <c r="AI84" s="299" t="e">
        <f t="shared" si="18"/>
        <v>#DIV/0!</v>
      </c>
      <c r="AJ84" s="299" t="b">
        <f t="shared" si="19"/>
        <v>1</v>
      </c>
      <c r="AK84" s="299" t="e">
        <f t="shared" si="28"/>
        <v>#DIV/0!</v>
      </c>
      <c r="AL84" s="299" t="e">
        <f t="shared" si="29"/>
        <v>#DIV/0!</v>
      </c>
      <c r="AM84" s="299" t="e">
        <f t="shared" si="20"/>
        <v>#DIV/0!</v>
      </c>
      <c r="AN84" s="299">
        <f t="shared" si="21"/>
        <v>-1</v>
      </c>
    </row>
    <row r="85" spans="2:40">
      <c r="B85" s="302"/>
      <c r="C85" s="302"/>
      <c r="AA85" s="963" t="str">
        <f t="shared" si="26"/>
        <v/>
      </c>
      <c r="AB85" s="299" t="e">
        <f t="shared" si="30"/>
        <v>#DIV/0!</v>
      </c>
      <c r="AC85" s="303" t="e">
        <f t="shared" si="27"/>
        <v>#DIV/0!</v>
      </c>
      <c r="AD85" s="299" t="e">
        <f t="shared" si="31"/>
        <v>#DIV/0!</v>
      </c>
      <c r="AE85" s="299" t="e">
        <f t="shared" si="14"/>
        <v>#DIV/0!</v>
      </c>
      <c r="AF85" s="299" t="e">
        <f t="shared" si="15"/>
        <v>#DIV/0!</v>
      </c>
      <c r="AG85" s="299" t="e">
        <f t="shared" si="16"/>
        <v>#DIV/0!</v>
      </c>
      <c r="AH85" s="299" t="e">
        <f t="shared" si="17"/>
        <v>#DIV/0!</v>
      </c>
      <c r="AI85" s="299" t="e">
        <f t="shared" si="18"/>
        <v>#DIV/0!</v>
      </c>
      <c r="AJ85" s="299" t="b">
        <f t="shared" si="19"/>
        <v>1</v>
      </c>
      <c r="AK85" s="299" t="e">
        <f t="shared" si="28"/>
        <v>#DIV/0!</v>
      </c>
      <c r="AL85" s="299" t="e">
        <f t="shared" si="29"/>
        <v>#DIV/0!</v>
      </c>
      <c r="AM85" s="299" t="e">
        <f t="shared" si="20"/>
        <v>#DIV/0!</v>
      </c>
      <c r="AN85" s="299">
        <f t="shared" si="21"/>
        <v>-1</v>
      </c>
    </row>
    <row r="86" spans="2:40">
      <c r="B86" s="302"/>
      <c r="C86" s="302"/>
      <c r="AA86" s="963" t="str">
        <f t="shared" si="26"/>
        <v/>
      </c>
      <c r="AB86" s="299" t="e">
        <f t="shared" si="30"/>
        <v>#DIV/0!</v>
      </c>
      <c r="AC86" s="303" t="e">
        <f t="shared" si="27"/>
        <v>#DIV/0!</v>
      </c>
      <c r="AD86" s="299" t="e">
        <f t="shared" si="31"/>
        <v>#DIV/0!</v>
      </c>
      <c r="AE86" s="299" t="e">
        <f t="shared" si="14"/>
        <v>#DIV/0!</v>
      </c>
      <c r="AF86" s="299" t="e">
        <f t="shared" si="15"/>
        <v>#DIV/0!</v>
      </c>
      <c r="AG86" s="299" t="e">
        <f t="shared" si="16"/>
        <v>#DIV/0!</v>
      </c>
      <c r="AH86" s="299" t="e">
        <f t="shared" si="17"/>
        <v>#DIV/0!</v>
      </c>
      <c r="AI86" s="299" t="e">
        <f t="shared" si="18"/>
        <v>#DIV/0!</v>
      </c>
      <c r="AJ86" s="299" t="b">
        <f t="shared" si="19"/>
        <v>1</v>
      </c>
      <c r="AK86" s="299" t="e">
        <f t="shared" si="28"/>
        <v>#DIV/0!</v>
      </c>
      <c r="AL86" s="299" t="e">
        <f t="shared" si="29"/>
        <v>#DIV/0!</v>
      </c>
      <c r="AM86" s="299" t="e">
        <f t="shared" si="20"/>
        <v>#DIV/0!</v>
      </c>
      <c r="AN86" s="299">
        <f t="shared" si="21"/>
        <v>-1</v>
      </c>
    </row>
    <row r="87" spans="2:40">
      <c r="B87" s="302"/>
      <c r="C87" s="302"/>
      <c r="AA87" s="963" t="str">
        <f t="shared" si="26"/>
        <v/>
      </c>
      <c r="AB87" s="299" t="e">
        <f t="shared" si="30"/>
        <v>#DIV/0!</v>
      </c>
      <c r="AC87" s="303" t="e">
        <f t="shared" si="27"/>
        <v>#DIV/0!</v>
      </c>
      <c r="AD87" s="299" t="e">
        <f t="shared" si="31"/>
        <v>#DIV/0!</v>
      </c>
      <c r="AE87" s="299" t="e">
        <f t="shared" si="14"/>
        <v>#DIV/0!</v>
      </c>
      <c r="AF87" s="299" t="e">
        <f t="shared" si="15"/>
        <v>#DIV/0!</v>
      </c>
      <c r="AG87" s="299" t="e">
        <f t="shared" si="16"/>
        <v>#DIV/0!</v>
      </c>
      <c r="AH87" s="299" t="e">
        <f t="shared" si="17"/>
        <v>#DIV/0!</v>
      </c>
      <c r="AI87" s="299" t="e">
        <f t="shared" si="18"/>
        <v>#DIV/0!</v>
      </c>
      <c r="AJ87" s="299" t="b">
        <f t="shared" si="19"/>
        <v>1</v>
      </c>
      <c r="AK87" s="299" t="e">
        <f t="shared" si="28"/>
        <v>#DIV/0!</v>
      </c>
      <c r="AL87" s="299" t="e">
        <f t="shared" si="29"/>
        <v>#DIV/0!</v>
      </c>
      <c r="AM87" s="299" t="e">
        <f t="shared" si="20"/>
        <v>#DIV/0!</v>
      </c>
      <c r="AN87" s="299">
        <f t="shared" si="21"/>
        <v>-1</v>
      </c>
    </row>
    <row r="88" spans="2:40">
      <c r="B88" s="302"/>
      <c r="C88" s="302"/>
      <c r="AA88" s="963" t="str">
        <f t="shared" si="26"/>
        <v/>
      </c>
      <c r="AB88" s="299" t="e">
        <f t="shared" si="30"/>
        <v>#DIV/0!</v>
      </c>
      <c r="AC88" s="303" t="e">
        <f t="shared" si="27"/>
        <v>#DIV/0!</v>
      </c>
      <c r="AD88" s="299" t="e">
        <f t="shared" si="31"/>
        <v>#DIV/0!</v>
      </c>
      <c r="AE88" s="299" t="e">
        <f t="shared" si="14"/>
        <v>#DIV/0!</v>
      </c>
      <c r="AF88" s="299" t="e">
        <f t="shared" si="15"/>
        <v>#DIV/0!</v>
      </c>
      <c r="AG88" s="299" t="e">
        <f t="shared" si="16"/>
        <v>#DIV/0!</v>
      </c>
      <c r="AH88" s="299" t="e">
        <f t="shared" si="17"/>
        <v>#DIV/0!</v>
      </c>
      <c r="AI88" s="299" t="e">
        <f t="shared" si="18"/>
        <v>#DIV/0!</v>
      </c>
      <c r="AJ88" s="299" t="b">
        <f t="shared" si="19"/>
        <v>1</v>
      </c>
      <c r="AK88" s="299" t="e">
        <f t="shared" si="28"/>
        <v>#DIV/0!</v>
      </c>
      <c r="AL88" s="299" t="e">
        <f t="shared" si="29"/>
        <v>#DIV/0!</v>
      </c>
      <c r="AM88" s="299" t="e">
        <f t="shared" si="20"/>
        <v>#DIV/0!</v>
      </c>
      <c r="AN88" s="299">
        <f t="shared" si="21"/>
        <v>-1</v>
      </c>
    </row>
    <row r="89" spans="2:40">
      <c r="B89" s="302"/>
      <c r="C89" s="302"/>
      <c r="AA89" s="963" t="str">
        <f t="shared" si="26"/>
        <v/>
      </c>
      <c r="AB89" s="299" t="e">
        <f t="shared" si="30"/>
        <v>#DIV/0!</v>
      </c>
      <c r="AC89" s="303" t="e">
        <f t="shared" si="27"/>
        <v>#DIV/0!</v>
      </c>
      <c r="AD89" s="299" t="e">
        <f t="shared" si="31"/>
        <v>#DIV/0!</v>
      </c>
      <c r="AE89" s="299" t="e">
        <f t="shared" si="14"/>
        <v>#DIV/0!</v>
      </c>
      <c r="AF89" s="299" t="e">
        <f t="shared" si="15"/>
        <v>#DIV/0!</v>
      </c>
      <c r="AG89" s="299" t="e">
        <f t="shared" si="16"/>
        <v>#DIV/0!</v>
      </c>
      <c r="AH89" s="299" t="e">
        <f t="shared" si="17"/>
        <v>#DIV/0!</v>
      </c>
      <c r="AI89" s="299" t="e">
        <f t="shared" si="18"/>
        <v>#DIV/0!</v>
      </c>
      <c r="AJ89" s="299" t="b">
        <f t="shared" si="19"/>
        <v>1</v>
      </c>
      <c r="AK89" s="299" t="e">
        <f t="shared" si="28"/>
        <v>#DIV/0!</v>
      </c>
      <c r="AL89" s="299" t="e">
        <f t="shared" si="29"/>
        <v>#DIV/0!</v>
      </c>
      <c r="AM89" s="299" t="e">
        <f t="shared" si="20"/>
        <v>#DIV/0!</v>
      </c>
      <c r="AN89" s="299">
        <f t="shared" si="21"/>
        <v>-1</v>
      </c>
    </row>
    <row r="90" spans="2:40">
      <c r="B90" s="302"/>
      <c r="C90" s="302"/>
      <c r="AA90" s="963" t="str">
        <f t="shared" si="26"/>
        <v/>
      </c>
      <c r="AB90" s="299" t="e">
        <f t="shared" si="30"/>
        <v>#DIV/0!</v>
      </c>
      <c r="AC90" s="303" t="e">
        <f t="shared" si="27"/>
        <v>#DIV/0!</v>
      </c>
      <c r="AD90" s="299" t="e">
        <f t="shared" si="31"/>
        <v>#DIV/0!</v>
      </c>
      <c r="AE90" s="299" t="e">
        <f t="shared" ref="AE90:AE101" si="32">IF(OR(AF90,AG90,AH90,AI90,AJ90),AA90,NA())</f>
        <v>#DIV/0!</v>
      </c>
      <c r="AF90" s="299" t="e">
        <f t="shared" ref="AF90:AF101" si="33">IF(OR(AA90&lt;AB90,AA90&gt;AD90),TRUE,FALSE)</f>
        <v>#DIV/0!</v>
      </c>
      <c r="AG90" s="299" t="e">
        <f t="shared" ref="AG90:AG101" si="34">IF(ABS(SUM(AK88:AK90))&gt;1,TRUE,FALSE)</f>
        <v>#DIV/0!</v>
      </c>
      <c r="AH90" s="299" t="e">
        <f t="shared" ref="AH90:AH101" si="35">IF(ABS(SUM(AL86:AL90))&gt;3,TRUE,FALSE)</f>
        <v>#DIV/0!</v>
      </c>
      <c r="AI90" s="299" t="e">
        <f t="shared" ref="AI90:AI101" si="36">IF(OR(SUM(AM83:AM90)=8,SUM(AM80:AM90)&gt;9,SUM(AM77:AM90)&gt;11,SUM(AM71:AM90)&gt;15),TRUE,FALSE)</f>
        <v>#DIV/0!</v>
      </c>
      <c r="AJ90" s="299" t="b">
        <f t="shared" ref="AJ90:AJ101" si="37">IF(ABS(SUM(AN84:AN90))=7,TRUE,FALSE)</f>
        <v>1</v>
      </c>
      <c r="AK90" s="299" t="e">
        <f t="shared" si="28"/>
        <v>#DIV/0!</v>
      </c>
      <c r="AL90" s="299" t="e">
        <f t="shared" si="29"/>
        <v>#DIV/0!</v>
      </c>
      <c r="AM90" s="299" t="e">
        <f t="shared" ref="AM90:AM101" si="38">IF(AA90&gt;AC90,1,-1)</f>
        <v>#DIV/0!</v>
      </c>
      <c r="AN90" s="299">
        <f t="shared" ref="AN90:AN101" si="39">IF(AA90&gt;AA89,1,-1)</f>
        <v>-1</v>
      </c>
    </row>
    <row r="91" spans="2:40">
      <c r="B91" s="302"/>
      <c r="C91" s="302"/>
      <c r="AA91" s="963" t="str">
        <f t="shared" si="26"/>
        <v/>
      </c>
      <c r="AB91" s="299" t="e">
        <f t="shared" si="30"/>
        <v>#DIV/0!</v>
      </c>
      <c r="AC91" s="303" t="e">
        <f t="shared" si="27"/>
        <v>#DIV/0!</v>
      </c>
      <c r="AD91" s="299" t="e">
        <f t="shared" si="31"/>
        <v>#DIV/0!</v>
      </c>
      <c r="AE91" s="299" t="e">
        <f t="shared" si="32"/>
        <v>#DIV/0!</v>
      </c>
      <c r="AF91" s="299" t="e">
        <f t="shared" si="33"/>
        <v>#DIV/0!</v>
      </c>
      <c r="AG91" s="299" t="e">
        <f t="shared" si="34"/>
        <v>#DIV/0!</v>
      </c>
      <c r="AH91" s="299" t="e">
        <f t="shared" si="35"/>
        <v>#DIV/0!</v>
      </c>
      <c r="AI91" s="299" t="e">
        <f t="shared" si="36"/>
        <v>#DIV/0!</v>
      </c>
      <c r="AJ91" s="299" t="b">
        <f t="shared" si="37"/>
        <v>1</v>
      </c>
      <c r="AK91" s="299" t="e">
        <f t="shared" si="28"/>
        <v>#DIV/0!</v>
      </c>
      <c r="AL91" s="299" t="e">
        <f t="shared" si="29"/>
        <v>#DIV/0!</v>
      </c>
      <c r="AM91" s="299" t="e">
        <f t="shared" si="38"/>
        <v>#DIV/0!</v>
      </c>
      <c r="AN91" s="299">
        <f t="shared" si="39"/>
        <v>-1</v>
      </c>
    </row>
    <row r="92" spans="2:40">
      <c r="B92" s="302"/>
      <c r="C92" s="302"/>
      <c r="AA92" s="963" t="str">
        <f t="shared" si="26"/>
        <v/>
      </c>
      <c r="AB92" s="299" t="e">
        <f t="shared" si="30"/>
        <v>#DIV/0!</v>
      </c>
      <c r="AC92" s="303" t="e">
        <f t="shared" si="27"/>
        <v>#DIV/0!</v>
      </c>
      <c r="AD92" s="299" t="e">
        <f t="shared" si="31"/>
        <v>#DIV/0!</v>
      </c>
      <c r="AE92" s="299" t="e">
        <f t="shared" si="32"/>
        <v>#DIV/0!</v>
      </c>
      <c r="AF92" s="299" t="e">
        <f t="shared" si="33"/>
        <v>#DIV/0!</v>
      </c>
      <c r="AG92" s="299" t="e">
        <f t="shared" si="34"/>
        <v>#DIV/0!</v>
      </c>
      <c r="AH92" s="299" t="e">
        <f t="shared" si="35"/>
        <v>#DIV/0!</v>
      </c>
      <c r="AI92" s="299" t="e">
        <f t="shared" si="36"/>
        <v>#DIV/0!</v>
      </c>
      <c r="AJ92" s="299" t="b">
        <f t="shared" si="37"/>
        <v>1</v>
      </c>
      <c r="AK92" s="299" t="e">
        <f t="shared" si="28"/>
        <v>#DIV/0!</v>
      </c>
      <c r="AL92" s="299" t="e">
        <f t="shared" si="29"/>
        <v>#DIV/0!</v>
      </c>
      <c r="AM92" s="299" t="e">
        <f t="shared" si="38"/>
        <v>#DIV/0!</v>
      </c>
      <c r="AN92" s="299">
        <f t="shared" si="39"/>
        <v>-1</v>
      </c>
    </row>
    <row r="93" spans="2:40">
      <c r="B93" s="302"/>
      <c r="C93" s="302"/>
      <c r="AA93" s="963" t="str">
        <f t="shared" si="26"/>
        <v/>
      </c>
      <c r="AB93" s="299" t="e">
        <f t="shared" si="30"/>
        <v>#DIV/0!</v>
      </c>
      <c r="AC93" s="303" t="e">
        <f t="shared" si="27"/>
        <v>#DIV/0!</v>
      </c>
      <c r="AD93" s="299" t="e">
        <f t="shared" si="31"/>
        <v>#DIV/0!</v>
      </c>
      <c r="AE93" s="299" t="e">
        <f t="shared" si="32"/>
        <v>#DIV/0!</v>
      </c>
      <c r="AF93" s="299" t="e">
        <f t="shared" si="33"/>
        <v>#DIV/0!</v>
      </c>
      <c r="AG93" s="299" t="e">
        <f t="shared" si="34"/>
        <v>#DIV/0!</v>
      </c>
      <c r="AH93" s="299" t="e">
        <f t="shared" si="35"/>
        <v>#DIV/0!</v>
      </c>
      <c r="AI93" s="299" t="e">
        <f t="shared" si="36"/>
        <v>#DIV/0!</v>
      </c>
      <c r="AJ93" s="299" t="b">
        <f t="shared" si="37"/>
        <v>1</v>
      </c>
      <c r="AK93" s="299" t="e">
        <f t="shared" si="28"/>
        <v>#DIV/0!</v>
      </c>
      <c r="AL93" s="299" t="e">
        <f t="shared" si="29"/>
        <v>#DIV/0!</v>
      </c>
      <c r="AM93" s="299" t="e">
        <f t="shared" si="38"/>
        <v>#DIV/0!</v>
      </c>
      <c r="AN93" s="299">
        <f t="shared" si="39"/>
        <v>-1</v>
      </c>
    </row>
    <row r="94" spans="2:40">
      <c r="B94" s="302"/>
      <c r="C94" s="302"/>
      <c r="AA94" s="963" t="str">
        <f t="shared" si="26"/>
        <v/>
      </c>
      <c r="AB94" s="299" t="e">
        <f t="shared" si="30"/>
        <v>#DIV/0!</v>
      </c>
      <c r="AC94" s="303" t="e">
        <f t="shared" si="27"/>
        <v>#DIV/0!</v>
      </c>
      <c r="AD94" s="299" t="e">
        <f t="shared" si="31"/>
        <v>#DIV/0!</v>
      </c>
      <c r="AE94" s="299" t="e">
        <f t="shared" si="32"/>
        <v>#DIV/0!</v>
      </c>
      <c r="AF94" s="299" t="e">
        <f t="shared" si="33"/>
        <v>#DIV/0!</v>
      </c>
      <c r="AG94" s="299" t="e">
        <f t="shared" si="34"/>
        <v>#DIV/0!</v>
      </c>
      <c r="AH94" s="299" t="e">
        <f t="shared" si="35"/>
        <v>#DIV/0!</v>
      </c>
      <c r="AI94" s="299" t="e">
        <f t="shared" si="36"/>
        <v>#DIV/0!</v>
      </c>
      <c r="AJ94" s="299" t="b">
        <f t="shared" si="37"/>
        <v>1</v>
      </c>
      <c r="AK94" s="299" t="e">
        <f t="shared" si="28"/>
        <v>#DIV/0!</v>
      </c>
      <c r="AL94" s="299" t="e">
        <f t="shared" si="29"/>
        <v>#DIV/0!</v>
      </c>
      <c r="AM94" s="299" t="e">
        <f t="shared" si="38"/>
        <v>#DIV/0!</v>
      </c>
      <c r="AN94" s="299">
        <f t="shared" si="39"/>
        <v>-1</v>
      </c>
    </row>
    <row r="95" spans="2:40">
      <c r="B95" s="302"/>
      <c r="C95" s="302"/>
      <c r="AA95" s="963" t="str">
        <f t="shared" si="26"/>
        <v/>
      </c>
      <c r="AB95" s="299" t="e">
        <f t="shared" si="30"/>
        <v>#DIV/0!</v>
      </c>
      <c r="AC95" s="303" t="e">
        <f t="shared" si="27"/>
        <v>#DIV/0!</v>
      </c>
      <c r="AD95" s="299" t="e">
        <f t="shared" si="31"/>
        <v>#DIV/0!</v>
      </c>
      <c r="AE95" s="299" t="e">
        <f t="shared" si="32"/>
        <v>#DIV/0!</v>
      </c>
      <c r="AF95" s="299" t="e">
        <f t="shared" si="33"/>
        <v>#DIV/0!</v>
      </c>
      <c r="AG95" s="299" t="e">
        <f t="shared" si="34"/>
        <v>#DIV/0!</v>
      </c>
      <c r="AH95" s="299" t="e">
        <f t="shared" si="35"/>
        <v>#DIV/0!</v>
      </c>
      <c r="AI95" s="299" t="e">
        <f t="shared" si="36"/>
        <v>#DIV/0!</v>
      </c>
      <c r="AJ95" s="299" t="b">
        <f t="shared" si="37"/>
        <v>1</v>
      </c>
      <c r="AK95" s="299" t="e">
        <f t="shared" si="28"/>
        <v>#DIV/0!</v>
      </c>
      <c r="AL95" s="299" t="e">
        <f t="shared" si="29"/>
        <v>#DIV/0!</v>
      </c>
      <c r="AM95" s="299" t="e">
        <f t="shared" si="38"/>
        <v>#DIV/0!</v>
      </c>
      <c r="AN95" s="299">
        <f t="shared" si="39"/>
        <v>-1</v>
      </c>
    </row>
    <row r="96" spans="2:40">
      <c r="B96" s="302"/>
      <c r="C96" s="302"/>
      <c r="AA96" s="963" t="str">
        <f t="shared" si="26"/>
        <v/>
      </c>
      <c r="AB96" s="299" t="e">
        <f t="shared" si="30"/>
        <v>#DIV/0!</v>
      </c>
      <c r="AC96" s="303" t="e">
        <f t="shared" si="27"/>
        <v>#DIV/0!</v>
      </c>
      <c r="AD96" s="299" t="e">
        <f t="shared" si="31"/>
        <v>#DIV/0!</v>
      </c>
      <c r="AE96" s="299" t="e">
        <f t="shared" si="32"/>
        <v>#DIV/0!</v>
      </c>
      <c r="AF96" s="299" t="e">
        <f t="shared" si="33"/>
        <v>#DIV/0!</v>
      </c>
      <c r="AG96" s="299" t="e">
        <f t="shared" si="34"/>
        <v>#DIV/0!</v>
      </c>
      <c r="AH96" s="299" t="e">
        <f t="shared" si="35"/>
        <v>#DIV/0!</v>
      </c>
      <c r="AI96" s="299" t="e">
        <f t="shared" si="36"/>
        <v>#DIV/0!</v>
      </c>
      <c r="AJ96" s="299" t="b">
        <f t="shared" si="37"/>
        <v>1</v>
      </c>
      <c r="AK96" s="299" t="e">
        <f t="shared" si="28"/>
        <v>#DIV/0!</v>
      </c>
      <c r="AL96" s="299" t="e">
        <f t="shared" si="29"/>
        <v>#DIV/0!</v>
      </c>
      <c r="AM96" s="299" t="e">
        <f t="shared" si="38"/>
        <v>#DIV/0!</v>
      </c>
      <c r="AN96" s="299">
        <f t="shared" si="39"/>
        <v>-1</v>
      </c>
    </row>
    <row r="97" spans="2:40">
      <c r="B97" s="302"/>
      <c r="C97" s="302"/>
      <c r="AA97" s="963" t="str">
        <f t="shared" si="26"/>
        <v/>
      </c>
      <c r="AB97" s="299" t="e">
        <f t="shared" si="30"/>
        <v>#DIV/0!</v>
      </c>
      <c r="AC97" s="303" t="e">
        <f t="shared" si="27"/>
        <v>#DIV/0!</v>
      </c>
      <c r="AD97" s="299" t="e">
        <f t="shared" si="31"/>
        <v>#DIV/0!</v>
      </c>
      <c r="AE97" s="299" t="e">
        <f t="shared" si="32"/>
        <v>#DIV/0!</v>
      </c>
      <c r="AF97" s="299" t="e">
        <f t="shared" si="33"/>
        <v>#DIV/0!</v>
      </c>
      <c r="AG97" s="299" t="e">
        <f t="shared" si="34"/>
        <v>#DIV/0!</v>
      </c>
      <c r="AH97" s="299" t="e">
        <f t="shared" si="35"/>
        <v>#DIV/0!</v>
      </c>
      <c r="AI97" s="299" t="e">
        <f t="shared" si="36"/>
        <v>#DIV/0!</v>
      </c>
      <c r="AJ97" s="299" t="b">
        <f t="shared" si="37"/>
        <v>1</v>
      </c>
      <c r="AK97" s="299" t="e">
        <f t="shared" si="28"/>
        <v>#DIV/0!</v>
      </c>
      <c r="AL97" s="299" t="e">
        <f t="shared" si="29"/>
        <v>#DIV/0!</v>
      </c>
      <c r="AM97" s="299" t="e">
        <f t="shared" si="38"/>
        <v>#DIV/0!</v>
      </c>
      <c r="AN97" s="299">
        <f t="shared" si="39"/>
        <v>-1</v>
      </c>
    </row>
    <row r="98" spans="2:40">
      <c r="B98" s="302"/>
      <c r="C98" s="302"/>
      <c r="AA98" s="963" t="str">
        <f t="shared" si="26"/>
        <v/>
      </c>
      <c r="AB98" s="299" t="e">
        <f t="shared" si="30"/>
        <v>#DIV/0!</v>
      </c>
      <c r="AC98" s="303" t="e">
        <f t="shared" si="27"/>
        <v>#DIV/0!</v>
      </c>
      <c r="AD98" s="299" t="e">
        <f t="shared" si="31"/>
        <v>#DIV/0!</v>
      </c>
      <c r="AE98" s="299" t="e">
        <f t="shared" si="32"/>
        <v>#DIV/0!</v>
      </c>
      <c r="AF98" s="299" t="e">
        <f t="shared" si="33"/>
        <v>#DIV/0!</v>
      </c>
      <c r="AG98" s="299" t="e">
        <f t="shared" si="34"/>
        <v>#DIV/0!</v>
      </c>
      <c r="AH98" s="299" t="e">
        <f t="shared" si="35"/>
        <v>#DIV/0!</v>
      </c>
      <c r="AI98" s="299" t="e">
        <f t="shared" si="36"/>
        <v>#DIV/0!</v>
      </c>
      <c r="AJ98" s="299" t="b">
        <f t="shared" si="37"/>
        <v>1</v>
      </c>
      <c r="AK98" s="299" t="e">
        <f t="shared" si="28"/>
        <v>#DIV/0!</v>
      </c>
      <c r="AL98" s="299" t="e">
        <f t="shared" si="29"/>
        <v>#DIV/0!</v>
      </c>
      <c r="AM98" s="299" t="e">
        <f t="shared" si="38"/>
        <v>#DIV/0!</v>
      </c>
      <c r="AN98" s="299">
        <f t="shared" si="39"/>
        <v>-1</v>
      </c>
    </row>
    <row r="99" spans="2:40">
      <c r="B99" s="302"/>
      <c r="C99" s="302"/>
      <c r="AA99" s="963" t="str">
        <f t="shared" si="26"/>
        <v/>
      </c>
      <c r="AB99" s="299" t="e">
        <f t="shared" si="30"/>
        <v>#DIV/0!</v>
      </c>
      <c r="AC99" s="303" t="e">
        <f t="shared" si="27"/>
        <v>#DIV/0!</v>
      </c>
      <c r="AD99" s="299" t="e">
        <f t="shared" si="31"/>
        <v>#DIV/0!</v>
      </c>
      <c r="AE99" s="299" t="e">
        <f t="shared" si="32"/>
        <v>#DIV/0!</v>
      </c>
      <c r="AF99" s="299" t="e">
        <f t="shared" si="33"/>
        <v>#DIV/0!</v>
      </c>
      <c r="AG99" s="299" t="e">
        <f t="shared" si="34"/>
        <v>#DIV/0!</v>
      </c>
      <c r="AH99" s="299" t="e">
        <f t="shared" si="35"/>
        <v>#DIV/0!</v>
      </c>
      <c r="AI99" s="299" t="e">
        <f t="shared" si="36"/>
        <v>#DIV/0!</v>
      </c>
      <c r="AJ99" s="299" t="b">
        <f t="shared" si="37"/>
        <v>1</v>
      </c>
      <c r="AK99" s="299" t="e">
        <f t="shared" si="28"/>
        <v>#DIV/0!</v>
      </c>
      <c r="AL99" s="299" t="e">
        <f t="shared" si="29"/>
        <v>#DIV/0!</v>
      </c>
      <c r="AM99" s="299" t="e">
        <f t="shared" si="38"/>
        <v>#DIV/0!</v>
      </c>
      <c r="AN99" s="299">
        <f t="shared" si="39"/>
        <v>-1</v>
      </c>
    </row>
    <row r="100" spans="2:40">
      <c r="B100" s="302"/>
      <c r="C100" s="302"/>
      <c r="AA100" s="963" t="str">
        <f t="shared" si="26"/>
        <v/>
      </c>
      <c r="AB100" s="299" t="e">
        <f t="shared" si="30"/>
        <v>#DIV/0!</v>
      </c>
      <c r="AC100" s="303" t="e">
        <f t="shared" si="27"/>
        <v>#DIV/0!</v>
      </c>
      <c r="AD100" s="299" t="e">
        <f t="shared" si="31"/>
        <v>#DIV/0!</v>
      </c>
      <c r="AE100" s="299" t="e">
        <f t="shared" si="32"/>
        <v>#DIV/0!</v>
      </c>
      <c r="AF100" s="299" t="e">
        <f t="shared" si="33"/>
        <v>#DIV/0!</v>
      </c>
      <c r="AG100" s="299" t="e">
        <f t="shared" si="34"/>
        <v>#DIV/0!</v>
      </c>
      <c r="AH100" s="299" t="e">
        <f t="shared" si="35"/>
        <v>#DIV/0!</v>
      </c>
      <c r="AI100" s="299" t="e">
        <f t="shared" si="36"/>
        <v>#DIV/0!</v>
      </c>
      <c r="AJ100" s="299" t="b">
        <f t="shared" si="37"/>
        <v>1</v>
      </c>
      <c r="AK100" s="299" t="e">
        <f t="shared" si="28"/>
        <v>#DIV/0!</v>
      </c>
      <c r="AL100" s="299" t="e">
        <f t="shared" si="29"/>
        <v>#DIV/0!</v>
      </c>
      <c r="AM100" s="299" t="e">
        <f t="shared" si="38"/>
        <v>#DIV/0!</v>
      </c>
      <c r="AN100" s="299">
        <f t="shared" si="39"/>
        <v>-1</v>
      </c>
    </row>
    <row r="101" spans="2:40">
      <c r="AA101" s="963" t="str">
        <f t="shared" si="26"/>
        <v/>
      </c>
      <c r="AB101" s="299" t="e">
        <f t="shared" si="30"/>
        <v>#DIV/0!</v>
      </c>
      <c r="AC101" s="303" t="e">
        <f t="shared" si="27"/>
        <v>#DIV/0!</v>
      </c>
      <c r="AD101" s="299" t="e">
        <f t="shared" si="31"/>
        <v>#DIV/0!</v>
      </c>
      <c r="AE101" s="299" t="e">
        <f t="shared" si="32"/>
        <v>#DIV/0!</v>
      </c>
      <c r="AF101" s="299" t="e">
        <f t="shared" si="33"/>
        <v>#DIV/0!</v>
      </c>
      <c r="AG101" s="299" t="e">
        <f t="shared" si="34"/>
        <v>#DIV/0!</v>
      </c>
      <c r="AH101" s="299" t="e">
        <f t="shared" si="35"/>
        <v>#DIV/0!</v>
      </c>
      <c r="AI101" s="299" t="e">
        <f t="shared" si="36"/>
        <v>#DIV/0!</v>
      </c>
      <c r="AJ101" s="299" t="b">
        <f t="shared" si="37"/>
        <v>1</v>
      </c>
      <c r="AK101" s="299" t="e">
        <f t="shared" si="28"/>
        <v>#DIV/0!</v>
      </c>
      <c r="AL101" s="299" t="e">
        <f t="shared" si="29"/>
        <v>#DIV/0!</v>
      </c>
      <c r="AM101" s="299" t="e">
        <f t="shared" si="38"/>
        <v>#DIV/0!</v>
      </c>
      <c r="AN101" s="299">
        <f t="shared" si="39"/>
        <v>-1</v>
      </c>
    </row>
  </sheetData>
  <mergeCells count="1">
    <mergeCell ref="AF1:AN1"/>
  </mergeCells>
  <pageMargins left="0.70866141732283472" right="0.70866141732283472" top="0.74803149606299213" bottom="0.74803149606299213" header="0.31496062992125984" footer="0.31496062992125984"/>
  <pageSetup paperSize="9" scale="27" orientation="landscape" horizontalDpi="4294967293" r:id="rId1"/>
  <customProperties>
    <customPr name="ORB_SHEETNAME" r:id="rId2"/>
  </customProperties>
  <drawing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5">
    <pageSetUpPr fitToPage="1"/>
  </sheetPr>
  <dimension ref="A1:V101"/>
  <sheetViews>
    <sheetView zoomScaleNormal="100" zoomScaleSheetLayoutView="80" workbookViewId="0">
      <selection activeCell="B2" sqref="B2:C31"/>
    </sheetView>
  </sheetViews>
  <sheetFormatPr defaultColWidth="8.7109375" defaultRowHeight="15.75"/>
  <cols>
    <col min="1" max="1" width="14.28515625" style="173" customWidth="1"/>
    <col min="2" max="2" width="10.7109375" style="34" customWidth="1"/>
    <col min="3" max="3" width="14.28515625" style="34" customWidth="1"/>
    <col min="4" max="4" width="12.28515625" style="34" bestFit="1" customWidth="1"/>
    <col min="5" max="17" width="8.7109375" style="34"/>
    <col min="18" max="18" width="11.140625" style="34" customWidth="1"/>
    <col min="19" max="21" width="9.42578125" style="36" customWidth="1"/>
    <col min="22" max="22" width="9.28515625" style="36"/>
    <col min="23" max="16384" width="8.7109375" style="34"/>
  </cols>
  <sheetData>
    <row r="1" spans="1:22" ht="47.25" customHeight="1">
      <c r="A1" s="305" t="s">
        <v>752</v>
      </c>
      <c r="B1" s="305" t="s">
        <v>788</v>
      </c>
      <c r="C1" s="305" t="s">
        <v>774</v>
      </c>
      <c r="D1" s="306"/>
      <c r="E1" s="707"/>
      <c r="F1" s="707"/>
      <c r="G1" s="707"/>
      <c r="H1" s="707"/>
      <c r="I1" s="707"/>
      <c r="J1" s="707"/>
      <c r="K1" s="707"/>
      <c r="L1" s="707"/>
      <c r="M1" s="707"/>
      <c r="N1" s="707"/>
      <c r="O1" s="707"/>
      <c r="P1" s="707"/>
      <c r="Q1" s="707"/>
      <c r="R1" s="707"/>
      <c r="S1" s="284" t="s">
        <v>755</v>
      </c>
      <c r="T1" s="284" t="s">
        <v>778</v>
      </c>
      <c r="U1" s="284" t="s">
        <v>761</v>
      </c>
      <c r="V1" s="284" t="s">
        <v>789</v>
      </c>
    </row>
    <row r="2" spans="1:22">
      <c r="A2" s="1165">
        <v>1</v>
      </c>
      <c r="B2" s="1377">
        <v>5</v>
      </c>
      <c r="C2" s="1377">
        <v>30</v>
      </c>
      <c r="D2" s="707"/>
      <c r="E2" s="707"/>
      <c r="F2" s="707"/>
      <c r="G2" s="707"/>
      <c r="H2" s="707"/>
      <c r="I2" s="707"/>
      <c r="J2" s="707"/>
      <c r="K2" s="707"/>
      <c r="L2" s="707"/>
      <c r="M2" s="707"/>
      <c r="N2" s="707"/>
      <c r="O2" s="707"/>
      <c r="P2" s="707"/>
      <c r="Q2" s="707"/>
      <c r="R2" s="707"/>
      <c r="S2" s="288">
        <f>IF(B2&lt;&gt;"", AVERAGE(C2:C21)*T2-(3*SQRT(AVERAGE(C2:C21)*T2*(1-T2))), "")</f>
        <v>-1.3633067504249059</v>
      </c>
      <c r="T2" s="288">
        <f>SUM(B:B)/SUM(C:C)</f>
        <v>9.4716494845360821E-2</v>
      </c>
      <c r="U2" s="288">
        <f>IF(B2&lt;&gt;"", AVERAGE(C2:C21)*T2+(3*SQRT(AVERAGE(C2:C21)*T2*(1-T2))), "")</f>
        <v>11.469556750424905</v>
      </c>
      <c r="V2" s="36">
        <f>AVERAGE(B:B)</f>
        <v>4.9000000000000004</v>
      </c>
    </row>
    <row r="3" spans="1:22">
      <c r="A3" s="1165">
        <v>2</v>
      </c>
      <c r="B3" s="1377">
        <v>6</v>
      </c>
      <c r="C3" s="1377">
        <v>54</v>
      </c>
      <c r="D3" s="707"/>
      <c r="E3" s="707"/>
      <c r="F3" s="707"/>
      <c r="G3" s="707"/>
      <c r="H3" s="707"/>
      <c r="I3" s="707"/>
      <c r="J3" s="707"/>
      <c r="K3" s="707"/>
      <c r="L3" s="707"/>
      <c r="M3" s="707"/>
      <c r="N3" s="707"/>
      <c r="O3" s="707"/>
      <c r="P3" s="707"/>
      <c r="Q3" s="707"/>
      <c r="R3" s="707"/>
      <c r="S3" s="288">
        <f t="shared" ref="S3:S66" si="0">IF(B3&lt;&gt;"", AVERAGE(C3:C22)*T3-(3*SQRT(AVERAGE(C3:C22)*T3*(1-T3))), "")</f>
        <v>-1.3302024915484632</v>
      </c>
      <c r="T3" s="288">
        <f t="shared" ref="T3:T66" si="1">SUM(B:B)/SUM(C:C)</f>
        <v>9.4716494845360821E-2</v>
      </c>
      <c r="U3" s="288">
        <f t="shared" ref="U3:U66" si="2">IF(B3&lt;&gt;"", AVERAGE(C3:C22)*T3+(3*SQRT(AVERAGE(C3:C22)*T3*(1-T3))), "")</f>
        <v>11.616413831754649</v>
      </c>
      <c r="V3" s="36">
        <f>V2</f>
        <v>4.9000000000000004</v>
      </c>
    </row>
    <row r="4" spans="1:22">
      <c r="A4" s="1165">
        <v>3</v>
      </c>
      <c r="B4" s="1377">
        <v>5</v>
      </c>
      <c r="C4" s="1377">
        <v>42</v>
      </c>
      <c r="D4" s="707"/>
      <c r="E4" s="707"/>
      <c r="F4" s="707"/>
      <c r="G4" s="707"/>
      <c r="H4" s="707"/>
      <c r="I4" s="707"/>
      <c r="J4" s="707"/>
      <c r="K4" s="707"/>
      <c r="L4" s="707"/>
      <c r="M4" s="707"/>
      <c r="N4" s="707"/>
      <c r="O4" s="707"/>
      <c r="P4" s="707"/>
      <c r="Q4" s="707"/>
      <c r="R4" s="707"/>
      <c r="S4" s="288">
        <f t="shared" si="0"/>
        <v>-1.3196449788470881</v>
      </c>
      <c r="T4" s="288">
        <f t="shared" si="1"/>
        <v>9.4716494845360821E-2</v>
      </c>
      <c r="U4" s="288">
        <f t="shared" si="2"/>
        <v>11.662686215960491</v>
      </c>
      <c r="V4" s="36">
        <f t="shared" ref="V4:V67" si="3">V3</f>
        <v>4.9000000000000004</v>
      </c>
    </row>
    <row r="5" spans="1:22">
      <c r="A5" s="1165">
        <v>4</v>
      </c>
      <c r="B5" s="1377">
        <v>4</v>
      </c>
      <c r="C5" s="1377">
        <v>42</v>
      </c>
      <c r="D5" s="707"/>
      <c r="E5" s="707"/>
      <c r="F5" s="707"/>
      <c r="G5" s="707"/>
      <c r="H5" s="707"/>
      <c r="I5" s="707"/>
      <c r="J5" s="707"/>
      <c r="K5" s="707"/>
      <c r="L5" s="707"/>
      <c r="M5" s="707"/>
      <c r="N5" s="707"/>
      <c r="O5" s="707"/>
      <c r="P5" s="1170"/>
      <c r="Q5" s="1170"/>
      <c r="R5" s="707"/>
      <c r="S5" s="288">
        <f t="shared" si="0"/>
        <v>-1.3090384742754848</v>
      </c>
      <c r="T5" s="288">
        <f t="shared" si="1"/>
        <v>9.4716494845360821E-2</v>
      </c>
      <c r="U5" s="288">
        <f t="shared" si="2"/>
        <v>11.708909608296103</v>
      </c>
      <c r="V5" s="36">
        <f t="shared" si="3"/>
        <v>4.9000000000000004</v>
      </c>
    </row>
    <row r="6" spans="1:22">
      <c r="A6" s="1165">
        <v>5</v>
      </c>
      <c r="B6" s="1377">
        <v>6</v>
      </c>
      <c r="C6" s="1377">
        <v>48</v>
      </c>
      <c r="D6" s="707"/>
      <c r="E6" s="707"/>
      <c r="F6" s="707"/>
      <c r="G6" s="707"/>
      <c r="H6" s="707"/>
      <c r="I6" s="707"/>
      <c r="J6" s="707"/>
      <c r="K6" s="707"/>
      <c r="L6" s="707"/>
      <c r="M6" s="707"/>
      <c r="N6" s="707"/>
      <c r="O6" s="707"/>
      <c r="P6" s="1170"/>
      <c r="Q6" s="1170"/>
      <c r="R6" s="707"/>
      <c r="S6" s="288">
        <f t="shared" si="0"/>
        <v>-1.3249298844612598</v>
      </c>
      <c r="T6" s="288">
        <f t="shared" si="1"/>
        <v>9.4716494845360821E-2</v>
      </c>
      <c r="U6" s="288">
        <f t="shared" si="2"/>
        <v>11.639556173121054</v>
      </c>
      <c r="V6" s="36">
        <f t="shared" si="3"/>
        <v>4.9000000000000004</v>
      </c>
    </row>
    <row r="7" spans="1:22">
      <c r="A7" s="1165">
        <v>6</v>
      </c>
      <c r="B7" s="1377">
        <v>6</v>
      </c>
      <c r="C7" s="1377">
        <v>62</v>
      </c>
      <c r="D7" s="707"/>
      <c r="E7" s="707"/>
      <c r="F7" s="707"/>
      <c r="G7" s="707"/>
      <c r="H7" s="707"/>
      <c r="I7" s="707"/>
      <c r="J7" s="707"/>
      <c r="K7" s="707"/>
      <c r="L7" s="707"/>
      <c r="M7" s="707"/>
      <c r="N7" s="707"/>
      <c r="O7" s="707"/>
      <c r="P7" s="707"/>
      <c r="Q7" s="707"/>
      <c r="R7" s="707"/>
      <c r="S7" s="288">
        <f t="shared" si="0"/>
        <v>-1.3633067504249059</v>
      </c>
      <c r="T7" s="288">
        <f t="shared" si="1"/>
        <v>9.4716494845360821E-2</v>
      </c>
      <c r="U7" s="288">
        <f t="shared" si="2"/>
        <v>11.469556750424905</v>
      </c>
      <c r="V7" s="36">
        <f t="shared" si="3"/>
        <v>4.9000000000000004</v>
      </c>
    </row>
    <row r="8" spans="1:22">
      <c r="A8" s="1165">
        <v>7</v>
      </c>
      <c r="B8" s="1377">
        <v>4</v>
      </c>
      <c r="C8" s="1377">
        <v>53</v>
      </c>
      <c r="D8" s="707"/>
      <c r="E8" s="707"/>
      <c r="F8" s="707"/>
      <c r="G8" s="707"/>
      <c r="H8" s="707"/>
      <c r="I8" s="707"/>
      <c r="J8" s="707"/>
      <c r="K8" s="707"/>
      <c r="L8" s="707"/>
      <c r="M8" s="707"/>
      <c r="N8" s="707"/>
      <c r="O8" s="707"/>
      <c r="P8" s="707"/>
      <c r="Q8" s="707"/>
      <c r="R8" s="707"/>
      <c r="S8" s="288">
        <f t="shared" si="0"/>
        <v>-1.3702117052997291</v>
      </c>
      <c r="T8" s="288">
        <f t="shared" si="1"/>
        <v>9.4716494845360821E-2</v>
      </c>
      <c r="U8" s="288">
        <f t="shared" si="2"/>
        <v>11.438575107361585</v>
      </c>
      <c r="V8" s="36">
        <f t="shared" si="3"/>
        <v>4.9000000000000004</v>
      </c>
    </row>
    <row r="9" spans="1:22">
      <c r="A9" s="1165">
        <v>8</v>
      </c>
      <c r="B9" s="1377">
        <v>4</v>
      </c>
      <c r="C9" s="1377">
        <v>63</v>
      </c>
      <c r="D9" s="707"/>
      <c r="E9" s="707"/>
      <c r="F9" s="707"/>
      <c r="G9" s="707"/>
      <c r="H9" s="707"/>
      <c r="I9" s="707"/>
      <c r="J9" s="707"/>
      <c r="K9" s="707"/>
      <c r="L9" s="707"/>
      <c r="M9" s="707"/>
      <c r="N9" s="707"/>
      <c r="O9" s="707"/>
      <c r="P9" s="707"/>
      <c r="Q9" s="707"/>
      <c r="R9" s="707"/>
      <c r="S9" s="288">
        <f t="shared" si="0"/>
        <v>-1.3684875870048243</v>
      </c>
      <c r="T9" s="288">
        <f t="shared" si="1"/>
        <v>9.4716494845360821E-2</v>
      </c>
      <c r="U9" s="288">
        <f t="shared" si="2"/>
        <v>11.446322638551216</v>
      </c>
      <c r="V9" s="36">
        <f t="shared" si="3"/>
        <v>4.9000000000000004</v>
      </c>
    </row>
    <row r="10" spans="1:22">
      <c r="A10" s="1165">
        <v>9</v>
      </c>
      <c r="B10" s="1377">
        <v>2</v>
      </c>
      <c r="C10" s="1377">
        <v>65</v>
      </c>
      <c r="D10" s="707"/>
      <c r="E10" s="707"/>
      <c r="F10" s="707"/>
      <c r="G10" s="707"/>
      <c r="H10" s="707"/>
      <c r="I10" s="707"/>
      <c r="J10" s="707"/>
      <c r="K10" s="707"/>
      <c r="L10" s="707"/>
      <c r="M10" s="707"/>
      <c r="N10" s="707"/>
      <c r="O10" s="707"/>
      <c r="P10" s="707"/>
      <c r="Q10" s="707"/>
      <c r="R10" s="707"/>
      <c r="S10" s="288">
        <f t="shared" si="0"/>
        <v>-1.390790027574444</v>
      </c>
      <c r="T10" s="288">
        <f t="shared" si="1"/>
        <v>9.4716494845360821E-2</v>
      </c>
      <c r="U10" s="288">
        <f t="shared" si="2"/>
        <v>11.345493635821867</v>
      </c>
      <c r="V10" s="36">
        <f t="shared" si="3"/>
        <v>4.9000000000000004</v>
      </c>
    </row>
    <row r="11" spans="1:22">
      <c r="A11" s="1165">
        <v>10</v>
      </c>
      <c r="B11" s="1377">
        <v>5</v>
      </c>
      <c r="C11" s="1377">
        <v>61</v>
      </c>
      <c r="D11" s="707"/>
      <c r="E11" s="1077"/>
      <c r="F11" s="707"/>
      <c r="G11" s="707"/>
      <c r="H11" s="707"/>
      <c r="I11" s="707"/>
      <c r="J11" s="707"/>
      <c r="K11" s="707"/>
      <c r="L11" s="707"/>
      <c r="M11" s="707"/>
      <c r="N11" s="707"/>
      <c r="O11" s="707"/>
      <c r="P11" s="707"/>
      <c r="Q11" s="707"/>
      <c r="R11" s="707"/>
      <c r="S11" s="288">
        <f t="shared" si="0"/>
        <v>-1.4094712480686038</v>
      </c>
      <c r="T11" s="288">
        <f t="shared" si="1"/>
        <v>9.4716494845360821E-2</v>
      </c>
      <c r="U11" s="288">
        <f t="shared" si="2"/>
        <v>11.259986711986128</v>
      </c>
      <c r="V11" s="36">
        <f t="shared" si="3"/>
        <v>4.9000000000000004</v>
      </c>
    </row>
    <row r="12" spans="1:22">
      <c r="A12" s="1165">
        <v>11</v>
      </c>
      <c r="B12" s="1377">
        <v>4</v>
      </c>
      <c r="C12" s="1377">
        <v>49</v>
      </c>
      <c r="D12" s="707"/>
      <c r="E12" s="707"/>
      <c r="F12" s="707"/>
      <c r="G12" s="707"/>
      <c r="H12" s="707"/>
      <c r="I12" s="707"/>
      <c r="J12" s="707"/>
      <c r="K12" s="707"/>
      <c r="L12" s="707"/>
      <c r="M12" s="707"/>
      <c r="N12" s="707"/>
      <c r="O12" s="707"/>
      <c r="P12" s="707"/>
      <c r="Q12" s="707"/>
      <c r="R12" s="707"/>
      <c r="S12" s="288">
        <f t="shared" si="0"/>
        <v>-1.422946468190867</v>
      </c>
      <c r="T12" s="288">
        <f t="shared" si="1"/>
        <v>9.4716494845360821E-2</v>
      </c>
      <c r="U12" s="288">
        <f t="shared" si="2"/>
        <v>11.197688736232104</v>
      </c>
      <c r="V12" s="36">
        <f t="shared" si="3"/>
        <v>4.9000000000000004</v>
      </c>
    </row>
    <row r="13" spans="1:22">
      <c r="A13" s="1165">
        <v>12</v>
      </c>
      <c r="B13" s="1377">
        <v>6</v>
      </c>
      <c r="C13" s="1377">
        <v>72</v>
      </c>
      <c r="D13" s="707"/>
      <c r="E13" s="707"/>
      <c r="F13" s="707"/>
      <c r="G13" s="707"/>
      <c r="H13" s="707"/>
      <c r="I13" s="707"/>
      <c r="J13" s="707"/>
      <c r="K13" s="707"/>
      <c r="L13" s="707"/>
      <c r="M13" s="707"/>
      <c r="N13" s="707"/>
      <c r="O13" s="707"/>
      <c r="P13" s="707"/>
      <c r="Q13" s="707"/>
      <c r="R13" s="707"/>
      <c r="S13" s="288">
        <f t="shared" si="0"/>
        <v>-1.4183471376268875</v>
      </c>
      <c r="T13" s="288">
        <f t="shared" si="1"/>
        <v>9.4716494845360821E-2</v>
      </c>
      <c r="U13" s="288">
        <f t="shared" si="2"/>
        <v>11.219011814783698</v>
      </c>
      <c r="V13" s="36">
        <f t="shared" si="3"/>
        <v>4.9000000000000004</v>
      </c>
    </row>
    <row r="14" spans="1:22">
      <c r="A14" s="1165">
        <v>13</v>
      </c>
      <c r="B14" s="1377">
        <v>5</v>
      </c>
      <c r="C14" s="1377">
        <v>52</v>
      </c>
      <c r="D14" s="707"/>
      <c r="E14" s="707"/>
      <c r="F14" s="707"/>
      <c r="G14" s="707"/>
      <c r="H14" s="707"/>
      <c r="I14" s="707"/>
      <c r="J14" s="707"/>
      <c r="K14" s="707"/>
      <c r="L14" s="707"/>
      <c r="M14" s="707"/>
      <c r="N14" s="707"/>
      <c r="O14" s="707"/>
      <c r="P14" s="707"/>
      <c r="Q14" s="707"/>
      <c r="R14" s="707"/>
      <c r="S14" s="288">
        <f t="shared" si="0"/>
        <v>-1.4558509592799345</v>
      </c>
      <c r="T14" s="288">
        <f t="shared" si="1"/>
        <v>9.4716494845360821E-2</v>
      </c>
      <c r="U14" s="288">
        <f t="shared" si="2"/>
        <v>11.043265048627013</v>
      </c>
      <c r="V14" s="36">
        <f t="shared" si="3"/>
        <v>4.9000000000000004</v>
      </c>
    </row>
    <row r="15" spans="1:22">
      <c r="A15" s="1165">
        <v>14</v>
      </c>
      <c r="B15" s="1377">
        <v>5</v>
      </c>
      <c r="C15" s="1377">
        <v>55</v>
      </c>
      <c r="D15" s="707"/>
      <c r="E15" s="707"/>
      <c r="F15" s="707"/>
      <c r="G15" s="707"/>
      <c r="H15" s="707"/>
      <c r="I15" s="707"/>
      <c r="J15" s="707"/>
      <c r="K15" s="707"/>
      <c r="L15" s="707"/>
      <c r="M15" s="707"/>
      <c r="N15" s="707"/>
      <c r="O15" s="707"/>
      <c r="P15" s="707"/>
      <c r="Q15" s="707"/>
      <c r="R15" s="707"/>
      <c r="S15" s="288">
        <f t="shared" si="0"/>
        <v>-1.4585430009514218</v>
      </c>
      <c r="T15" s="288">
        <f t="shared" si="1"/>
        <v>9.4716494845360821E-2</v>
      </c>
      <c r="U15" s="288">
        <f t="shared" si="2"/>
        <v>11.03048053885318</v>
      </c>
      <c r="V15" s="36">
        <f t="shared" si="3"/>
        <v>4.9000000000000004</v>
      </c>
    </row>
    <row r="16" spans="1:22">
      <c r="A16" s="1165">
        <v>15</v>
      </c>
      <c r="B16" s="1377">
        <v>5</v>
      </c>
      <c r="C16" s="1377">
        <v>61</v>
      </c>
      <c r="D16" s="707"/>
      <c r="E16" s="707"/>
      <c r="F16" s="707"/>
      <c r="G16" s="707"/>
      <c r="H16" s="707"/>
      <c r="I16" s="707"/>
      <c r="J16" s="707"/>
      <c r="K16" s="707"/>
      <c r="L16" s="707"/>
      <c r="M16" s="707"/>
      <c r="N16" s="707"/>
      <c r="O16" s="707"/>
      <c r="P16" s="707"/>
      <c r="Q16" s="707"/>
      <c r="R16" s="707"/>
      <c r="S16" s="288">
        <f t="shared" si="0"/>
        <v>-1.4677188764089006</v>
      </c>
      <c r="T16" s="288">
        <f t="shared" si="1"/>
        <v>9.4716494845360821E-2</v>
      </c>
      <c r="U16" s="288">
        <f t="shared" si="2"/>
        <v>10.986726608367663</v>
      </c>
      <c r="V16" s="36">
        <f t="shared" si="3"/>
        <v>4.9000000000000004</v>
      </c>
    </row>
    <row r="17" spans="1:22">
      <c r="A17" s="1165">
        <v>16</v>
      </c>
      <c r="B17" s="1377">
        <v>4</v>
      </c>
      <c r="C17" s="1377">
        <v>42</v>
      </c>
      <c r="D17" s="707"/>
      <c r="E17" s="707"/>
      <c r="F17" s="707"/>
      <c r="G17" s="707"/>
      <c r="H17" s="707"/>
      <c r="I17" s="707"/>
      <c r="J17" s="707"/>
      <c r="K17" s="707"/>
      <c r="L17" s="707"/>
      <c r="M17" s="707"/>
      <c r="N17" s="707"/>
      <c r="O17" s="707"/>
      <c r="P17" s="707"/>
      <c r="Q17" s="707"/>
      <c r="R17" s="707"/>
      <c r="S17" s="288">
        <f t="shared" si="0"/>
        <v>-1.4910331628861249</v>
      </c>
      <c r="T17" s="288">
        <f t="shared" si="1"/>
        <v>9.4716494845360821E-2</v>
      </c>
      <c r="U17" s="288">
        <f t="shared" si="2"/>
        <v>10.874280585566538</v>
      </c>
      <c r="V17" s="36">
        <f t="shared" si="3"/>
        <v>4.9000000000000004</v>
      </c>
    </row>
    <row r="18" spans="1:22">
      <c r="A18" s="1165">
        <v>17</v>
      </c>
      <c r="B18" s="1377">
        <v>5</v>
      </c>
      <c r="C18" s="1377">
        <v>78</v>
      </c>
      <c r="D18" s="707"/>
      <c r="E18" s="707"/>
      <c r="F18" s="707"/>
      <c r="G18" s="707"/>
      <c r="H18" s="707"/>
      <c r="I18" s="707"/>
      <c r="J18" s="707"/>
      <c r="K18" s="707"/>
      <c r="L18" s="707"/>
      <c r="M18" s="707"/>
      <c r="N18" s="707"/>
      <c r="O18" s="707"/>
      <c r="P18" s="707"/>
      <c r="Q18" s="707"/>
      <c r="R18" s="707"/>
      <c r="S18" s="288">
        <f t="shared" si="0"/>
        <v>-1.4735579716098757</v>
      </c>
      <c r="T18" s="288">
        <f t="shared" si="1"/>
        <v>9.4716494845360821E-2</v>
      </c>
      <c r="U18" s="288">
        <f t="shared" si="2"/>
        <v>10.958738383981007</v>
      </c>
      <c r="V18" s="36">
        <f t="shared" si="3"/>
        <v>4.9000000000000004</v>
      </c>
    </row>
    <row r="19" spans="1:22">
      <c r="A19" s="1165">
        <v>18</v>
      </c>
      <c r="B19" s="1377">
        <v>3</v>
      </c>
      <c r="C19" s="1377">
        <v>58</v>
      </c>
      <c r="D19" s="707"/>
      <c r="E19" s="707"/>
      <c r="F19" s="707"/>
      <c r="G19" s="707"/>
      <c r="H19" s="707"/>
      <c r="I19" s="707"/>
      <c r="J19" s="707"/>
      <c r="K19" s="707"/>
      <c r="L19" s="707"/>
      <c r="M19" s="707"/>
      <c r="N19" s="707"/>
      <c r="O19" s="707"/>
      <c r="P19" s="707"/>
      <c r="Q19" s="707"/>
      <c r="R19" s="707"/>
      <c r="S19" s="288">
        <f t="shared" si="0"/>
        <v>-1.5422261433787634</v>
      </c>
      <c r="T19" s="288">
        <f t="shared" si="1"/>
        <v>9.4716494845360821E-2</v>
      </c>
      <c r="U19" s="288">
        <f t="shared" si="2"/>
        <v>10.620437880095654</v>
      </c>
      <c r="V19" s="36">
        <f t="shared" si="3"/>
        <v>4.9000000000000004</v>
      </c>
    </row>
    <row r="20" spans="1:22">
      <c r="A20" s="1165">
        <v>19</v>
      </c>
      <c r="B20" s="1377">
        <v>5</v>
      </c>
      <c r="C20" s="1377">
        <v>42</v>
      </c>
      <c r="D20" s="707"/>
      <c r="E20" s="707"/>
      <c r="F20" s="707"/>
      <c r="G20" s="707"/>
      <c r="H20" s="707"/>
      <c r="I20" s="707"/>
      <c r="J20" s="707"/>
      <c r="K20" s="707"/>
      <c r="L20" s="707"/>
      <c r="M20" s="707"/>
      <c r="N20" s="707"/>
      <c r="O20" s="707"/>
      <c r="P20" s="707"/>
      <c r="Q20" s="707"/>
      <c r="R20" s="707"/>
      <c r="S20" s="288">
        <f t="shared" si="0"/>
        <v>-1.5682474406255871</v>
      </c>
      <c r="T20" s="288">
        <f t="shared" si="1"/>
        <v>9.4716494845360821E-2</v>
      </c>
      <c r="U20" s="288">
        <f t="shared" si="2"/>
        <v>10.487384038563732</v>
      </c>
      <c r="V20" s="36">
        <f t="shared" si="3"/>
        <v>4.9000000000000004</v>
      </c>
    </row>
    <row r="21" spans="1:22">
      <c r="A21" s="1165">
        <v>20</v>
      </c>
      <c r="B21" s="1377">
        <v>5</v>
      </c>
      <c r="C21" s="1377">
        <v>38</v>
      </c>
      <c r="D21" s="707"/>
      <c r="E21" s="707"/>
      <c r="F21" s="707"/>
      <c r="G21" s="707"/>
      <c r="H21" s="707"/>
      <c r="I21" s="707"/>
      <c r="J21" s="707"/>
      <c r="K21" s="707"/>
      <c r="L21" s="707"/>
      <c r="M21" s="707"/>
      <c r="N21" s="707"/>
      <c r="O21" s="707"/>
      <c r="P21" s="707"/>
      <c r="Q21" s="707"/>
      <c r="R21" s="707"/>
      <c r="S21" s="288">
        <f t="shared" si="0"/>
        <v>-1.5539861048056505</v>
      </c>
      <c r="T21" s="288">
        <f t="shared" si="1"/>
        <v>9.4716494845360821E-2</v>
      </c>
      <c r="U21" s="288">
        <f t="shared" si="2"/>
        <v>10.560663705555417</v>
      </c>
      <c r="V21" s="36">
        <f t="shared" si="3"/>
        <v>4.9000000000000004</v>
      </c>
    </row>
    <row r="22" spans="1:22">
      <c r="A22" s="1165">
        <v>21</v>
      </c>
      <c r="B22" s="1377">
        <v>4</v>
      </c>
      <c r="C22" s="1377">
        <v>49</v>
      </c>
      <c r="D22" s="707"/>
      <c r="E22" s="707"/>
      <c r="F22" s="707"/>
      <c r="G22" s="707"/>
      <c r="H22" s="707"/>
      <c r="I22" s="707"/>
      <c r="J22" s="707"/>
      <c r="K22" s="707"/>
      <c r="L22" s="707"/>
      <c r="M22" s="707"/>
      <c r="N22" s="707"/>
      <c r="O22" s="707"/>
      <c r="P22" s="707"/>
      <c r="Q22" s="707"/>
      <c r="R22" s="707"/>
      <c r="S22" s="288">
        <f t="shared" si="0"/>
        <v>-1.524077630477759</v>
      </c>
      <c r="T22" s="288">
        <f t="shared" si="1"/>
        <v>9.4716494845360821E-2</v>
      </c>
      <c r="U22" s="288">
        <f t="shared" si="2"/>
        <v>10.711577630477759</v>
      </c>
      <c r="V22" s="36">
        <f t="shared" si="3"/>
        <v>4.9000000000000004</v>
      </c>
    </row>
    <row r="23" spans="1:22">
      <c r="A23" s="1165"/>
      <c r="B23" s="1377">
        <v>5</v>
      </c>
      <c r="C23" s="1377">
        <v>60</v>
      </c>
      <c r="D23" s="707"/>
      <c r="E23" s="707"/>
      <c r="F23" s="707"/>
      <c r="G23" s="707"/>
      <c r="H23" s="707"/>
      <c r="I23" s="707"/>
      <c r="J23" s="707"/>
      <c r="K23" s="707"/>
      <c r="L23" s="707"/>
      <c r="M23" s="707"/>
      <c r="N23" s="707"/>
      <c r="O23" s="707"/>
      <c r="P23" s="707"/>
      <c r="Q23" s="707"/>
      <c r="R23" s="707"/>
      <c r="S23" s="288">
        <f t="shared" si="0"/>
        <v>-1.5258347435420045</v>
      </c>
      <c r="T23" s="288">
        <f t="shared" si="1"/>
        <v>9.4716494845360821E-2</v>
      </c>
      <c r="U23" s="288">
        <f t="shared" si="2"/>
        <v>10.702810688559186</v>
      </c>
      <c r="V23" s="36">
        <f t="shared" si="3"/>
        <v>4.9000000000000004</v>
      </c>
    </row>
    <row r="24" spans="1:22">
      <c r="A24" s="1165"/>
      <c r="B24" s="1377">
        <v>6</v>
      </c>
      <c r="C24" s="1377">
        <v>48</v>
      </c>
      <c r="D24" s="707"/>
      <c r="E24" s="707"/>
      <c r="F24" s="707"/>
      <c r="G24" s="707"/>
      <c r="H24" s="707"/>
      <c r="I24" s="707"/>
      <c r="J24" s="707"/>
      <c r="K24" s="707"/>
      <c r="L24" s="707"/>
      <c r="M24" s="707"/>
      <c r="N24" s="707"/>
      <c r="O24" s="707"/>
      <c r="P24" s="707"/>
      <c r="Q24" s="707"/>
      <c r="R24" s="707"/>
      <c r="S24" s="288">
        <f t="shared" si="0"/>
        <v>-1.5708037692276147</v>
      </c>
      <c r="T24" s="288">
        <f t="shared" si="1"/>
        <v>9.4716494845360821E-2</v>
      </c>
      <c r="U24" s="288">
        <f t="shared" si="2"/>
        <v>10.474154284691531</v>
      </c>
      <c r="V24" s="36">
        <f t="shared" si="3"/>
        <v>4.9000000000000004</v>
      </c>
    </row>
    <row r="25" spans="1:22">
      <c r="A25" s="1165"/>
      <c r="B25" s="1377">
        <v>6</v>
      </c>
      <c r="C25" s="1377">
        <v>33</v>
      </c>
      <c r="D25" s="707"/>
      <c r="E25" s="707"/>
      <c r="F25" s="707"/>
      <c r="G25" s="707"/>
      <c r="H25" s="707"/>
      <c r="I25" s="707"/>
      <c r="J25" s="707"/>
      <c r="K25" s="707"/>
      <c r="L25" s="707"/>
      <c r="M25" s="707"/>
      <c r="N25" s="707"/>
      <c r="O25" s="707"/>
      <c r="P25" s="707"/>
      <c r="Q25" s="707"/>
      <c r="R25" s="707"/>
      <c r="S25" s="288">
        <f t="shared" si="0"/>
        <v>-1.5751750278423229</v>
      </c>
      <c r="T25" s="288">
        <f t="shared" si="1"/>
        <v>9.4716494845360821E-2</v>
      </c>
      <c r="U25" s="288">
        <f t="shared" si="2"/>
        <v>10.451463687636135</v>
      </c>
      <c r="V25" s="36">
        <f t="shared" si="3"/>
        <v>4.9000000000000004</v>
      </c>
    </row>
    <row r="26" spans="1:22">
      <c r="A26" s="1165"/>
      <c r="B26" s="1377">
        <v>7</v>
      </c>
      <c r="C26" s="1377">
        <v>26</v>
      </c>
      <c r="D26" s="707"/>
      <c r="E26" s="707"/>
      <c r="F26" s="707"/>
      <c r="G26" s="707"/>
      <c r="H26" s="707"/>
      <c r="I26" s="707"/>
      <c r="J26" s="707"/>
      <c r="K26" s="707"/>
      <c r="L26" s="707"/>
      <c r="M26" s="707"/>
      <c r="N26" s="707"/>
      <c r="O26" s="707"/>
      <c r="P26" s="707"/>
      <c r="Q26" s="707"/>
      <c r="R26" s="707"/>
      <c r="S26" s="288">
        <f t="shared" si="0"/>
        <v>-1.5028367193401069</v>
      </c>
      <c r="T26" s="288">
        <f t="shared" si="1"/>
        <v>9.4716494845360821E-2</v>
      </c>
      <c r="U26" s="288">
        <f t="shared" si="2"/>
        <v>10.816625379133921</v>
      </c>
      <c r="V26" s="36">
        <f t="shared" si="3"/>
        <v>4.9000000000000004</v>
      </c>
    </row>
    <row r="27" spans="1:22">
      <c r="A27" s="1165"/>
      <c r="B27" s="1377">
        <v>5</v>
      </c>
      <c r="C27" s="1377">
        <v>58</v>
      </c>
      <c r="D27" s="707"/>
      <c r="E27" s="707"/>
      <c r="F27" s="707"/>
      <c r="G27" s="707"/>
      <c r="H27" s="707"/>
      <c r="I27" s="707"/>
      <c r="J27" s="707"/>
      <c r="K27" s="707"/>
      <c r="L27" s="707"/>
      <c r="M27" s="707"/>
      <c r="N27" s="707"/>
      <c r="O27" s="707"/>
      <c r="P27" s="707"/>
      <c r="Q27" s="707"/>
      <c r="R27" s="707"/>
      <c r="S27" s="288">
        <f t="shared" si="0"/>
        <v>-1.3476883683926681</v>
      </c>
      <c r="T27" s="288">
        <f t="shared" si="1"/>
        <v>9.4716494845360821E-2</v>
      </c>
      <c r="U27" s="288">
        <f t="shared" si="2"/>
        <v>11.539183213753493</v>
      </c>
      <c r="V27" s="36">
        <f t="shared" si="3"/>
        <v>4.9000000000000004</v>
      </c>
    </row>
    <row r="28" spans="1:22">
      <c r="A28" s="1165"/>
      <c r="B28" s="1377">
        <v>4</v>
      </c>
      <c r="C28" s="1377">
        <v>54</v>
      </c>
      <c r="D28" s="707"/>
      <c r="E28" s="707"/>
      <c r="F28" s="707"/>
      <c r="G28" s="707"/>
      <c r="H28" s="707"/>
      <c r="I28" s="707"/>
      <c r="J28" s="707"/>
      <c r="K28" s="707"/>
      <c r="L28" s="707"/>
      <c r="M28" s="707"/>
      <c r="N28" s="707"/>
      <c r="O28" s="707"/>
      <c r="P28" s="707"/>
      <c r="Q28" s="707"/>
      <c r="R28" s="707"/>
      <c r="S28" s="288">
        <f t="shared" si="0"/>
        <v>-1.3839534730547909</v>
      </c>
      <c r="T28" s="288">
        <f t="shared" si="1"/>
        <v>9.4716494845360821E-2</v>
      </c>
      <c r="U28" s="288">
        <f t="shared" si="2"/>
        <v>11.376543679240356</v>
      </c>
      <c r="V28" s="36">
        <f t="shared" si="3"/>
        <v>4.9000000000000004</v>
      </c>
    </row>
    <row r="29" spans="1:22">
      <c r="A29" s="1165"/>
      <c r="B29" s="1377">
        <v>6</v>
      </c>
      <c r="C29" s="1377">
        <v>50</v>
      </c>
      <c r="D29" s="707"/>
      <c r="E29" s="707"/>
      <c r="F29" s="707"/>
      <c r="G29" s="707"/>
      <c r="H29" s="707"/>
      <c r="I29" s="707"/>
      <c r="J29" s="707"/>
      <c r="K29" s="707"/>
      <c r="L29" s="707"/>
      <c r="M29" s="707"/>
      <c r="N29" s="707"/>
      <c r="O29" s="707"/>
      <c r="P29" s="707"/>
      <c r="Q29" s="707"/>
      <c r="R29" s="707"/>
      <c r="S29" s="288">
        <f t="shared" si="0"/>
        <v>-1.3981702676677026</v>
      </c>
      <c r="T29" s="288">
        <f t="shared" si="1"/>
        <v>9.4716494845360821E-2</v>
      </c>
      <c r="U29" s="288">
        <f t="shared" si="2"/>
        <v>11.311830061482137</v>
      </c>
      <c r="V29" s="36">
        <f t="shared" si="3"/>
        <v>4.9000000000000004</v>
      </c>
    </row>
    <row r="30" spans="1:22">
      <c r="A30" s="1165"/>
      <c r="B30" s="1377">
        <v>5</v>
      </c>
      <c r="C30" s="1377">
        <v>54</v>
      </c>
      <c r="D30" s="707"/>
      <c r="E30" s="707"/>
      <c r="F30" s="707"/>
      <c r="G30" s="707"/>
      <c r="H30" s="707"/>
      <c r="I30" s="707"/>
      <c r="J30" s="707"/>
      <c r="K30" s="707"/>
      <c r="L30" s="707"/>
      <c r="M30" s="707"/>
      <c r="N30" s="707"/>
      <c r="O30" s="707"/>
      <c r="P30" s="707"/>
      <c r="Q30" s="707"/>
      <c r="R30" s="707"/>
      <c r="S30" s="288">
        <f t="shared" si="0"/>
        <v>-1.3581132329959829</v>
      </c>
      <c r="T30" s="288">
        <f t="shared" si="1"/>
        <v>9.4716494845360821E-2</v>
      </c>
      <c r="U30" s="288">
        <f t="shared" si="2"/>
        <v>11.492778181449591</v>
      </c>
      <c r="V30" s="36">
        <f t="shared" si="3"/>
        <v>4.9000000000000004</v>
      </c>
    </row>
    <row r="31" spans="1:22">
      <c r="A31" s="1165"/>
      <c r="B31" s="1377">
        <v>5</v>
      </c>
      <c r="C31" s="1377">
        <v>53</v>
      </c>
      <c r="D31" s="707"/>
      <c r="E31" s="707"/>
      <c r="F31" s="707"/>
      <c r="G31" s="707"/>
      <c r="H31" s="707"/>
      <c r="I31" s="707"/>
      <c r="J31" s="707"/>
      <c r="K31" s="707"/>
      <c r="L31" s="707"/>
      <c r="M31" s="707"/>
      <c r="N31" s="707"/>
      <c r="O31" s="707"/>
      <c r="P31" s="707"/>
      <c r="Q31" s="707"/>
      <c r="R31" s="707"/>
      <c r="S31" s="288">
        <f t="shared" si="0"/>
        <v>-1.3753755505297693</v>
      </c>
      <c r="T31" s="288">
        <f t="shared" si="1"/>
        <v>9.4716494845360821E-2</v>
      </c>
      <c r="U31" s="288">
        <f t="shared" si="2"/>
        <v>11.415324004138016</v>
      </c>
      <c r="V31" s="36">
        <f t="shared" si="3"/>
        <v>4.9000000000000004</v>
      </c>
    </row>
    <row r="32" spans="1:22">
      <c r="A32" s="1165"/>
      <c r="B32" s="307"/>
      <c r="C32" s="307"/>
      <c r="D32" s="707"/>
      <c r="E32" s="707"/>
      <c r="F32" s="707"/>
      <c r="G32" s="707"/>
      <c r="H32" s="707"/>
      <c r="I32" s="707"/>
      <c r="J32" s="707"/>
      <c r="K32" s="707"/>
      <c r="L32" s="707"/>
      <c r="M32" s="707"/>
      <c r="N32" s="707"/>
      <c r="O32" s="707"/>
      <c r="P32" s="707"/>
      <c r="Q32" s="707"/>
      <c r="R32" s="707"/>
      <c r="S32" s="288" t="str">
        <f t="shared" si="0"/>
        <v/>
      </c>
      <c r="T32" s="288">
        <f t="shared" si="1"/>
        <v>9.4716494845360821E-2</v>
      </c>
      <c r="U32" s="288" t="str">
        <f t="shared" si="2"/>
        <v/>
      </c>
      <c r="V32" s="36">
        <f t="shared" si="3"/>
        <v>4.9000000000000004</v>
      </c>
    </row>
    <row r="33" spans="2:22">
      <c r="B33" s="307"/>
      <c r="C33" s="307"/>
      <c r="D33" s="707"/>
      <c r="E33" s="707"/>
      <c r="F33" s="707"/>
      <c r="G33" s="707"/>
      <c r="H33" s="707"/>
      <c r="I33" s="707"/>
      <c r="J33" s="707"/>
      <c r="K33" s="707"/>
      <c r="L33" s="707"/>
      <c r="M33" s="707"/>
      <c r="N33" s="707"/>
      <c r="O33" s="707"/>
      <c r="P33" s="707"/>
      <c r="Q33" s="707"/>
      <c r="R33" s="707"/>
      <c r="S33" s="288" t="str">
        <f t="shared" si="0"/>
        <v/>
      </c>
      <c r="T33" s="288">
        <f t="shared" si="1"/>
        <v>9.4716494845360821E-2</v>
      </c>
      <c r="U33" s="288" t="str">
        <f t="shared" si="2"/>
        <v/>
      </c>
      <c r="V33" s="36">
        <f t="shared" si="3"/>
        <v>4.9000000000000004</v>
      </c>
    </row>
    <row r="34" spans="2:22">
      <c r="B34" s="307"/>
      <c r="C34" s="307"/>
      <c r="D34" s="707"/>
      <c r="E34" s="707"/>
      <c r="F34" s="707"/>
      <c r="G34" s="707"/>
      <c r="H34" s="707"/>
      <c r="I34" s="707"/>
      <c r="J34" s="707"/>
      <c r="K34" s="707"/>
      <c r="L34" s="707"/>
      <c r="M34" s="707"/>
      <c r="N34" s="707"/>
      <c r="O34" s="707"/>
      <c r="P34" s="707"/>
      <c r="Q34" s="707"/>
      <c r="R34" s="707"/>
      <c r="S34" s="288" t="str">
        <f t="shared" si="0"/>
        <v/>
      </c>
      <c r="T34" s="288">
        <f t="shared" si="1"/>
        <v>9.4716494845360821E-2</v>
      </c>
      <c r="U34" s="288" t="str">
        <f t="shared" si="2"/>
        <v/>
      </c>
      <c r="V34" s="36">
        <f t="shared" si="3"/>
        <v>4.9000000000000004</v>
      </c>
    </row>
    <row r="35" spans="2:22">
      <c r="B35" s="307"/>
      <c r="C35" s="307"/>
      <c r="D35" s="707"/>
      <c r="E35" s="707"/>
      <c r="F35" s="707"/>
      <c r="G35" s="707"/>
      <c r="H35" s="707"/>
      <c r="I35" s="707"/>
      <c r="J35" s="707"/>
      <c r="K35" s="707"/>
      <c r="L35" s="707"/>
      <c r="M35" s="707"/>
      <c r="N35" s="707"/>
      <c r="O35" s="707"/>
      <c r="P35" s="707"/>
      <c r="Q35" s="707"/>
      <c r="R35" s="707"/>
      <c r="S35" s="288" t="str">
        <f t="shared" si="0"/>
        <v/>
      </c>
      <c r="T35" s="288">
        <f t="shared" si="1"/>
        <v>9.4716494845360821E-2</v>
      </c>
      <c r="U35" s="288" t="str">
        <f t="shared" si="2"/>
        <v/>
      </c>
      <c r="V35" s="36">
        <f t="shared" si="3"/>
        <v>4.9000000000000004</v>
      </c>
    </row>
    <row r="36" spans="2:22">
      <c r="B36" s="307"/>
      <c r="C36" s="307"/>
      <c r="D36" s="707"/>
      <c r="E36" s="707" t="s">
        <v>790</v>
      </c>
      <c r="F36" s="707"/>
      <c r="G36" s="707"/>
      <c r="H36" s="707"/>
      <c r="I36" s="707"/>
      <c r="J36" s="707"/>
      <c r="K36" s="707"/>
      <c r="L36" s="707"/>
      <c r="M36" s="707"/>
      <c r="N36" s="707"/>
      <c r="O36" s="707"/>
      <c r="P36" s="707"/>
      <c r="Q36" s="707"/>
      <c r="R36" s="707"/>
      <c r="S36" s="288" t="str">
        <f t="shared" si="0"/>
        <v/>
      </c>
      <c r="T36" s="288">
        <f t="shared" si="1"/>
        <v>9.4716494845360821E-2</v>
      </c>
      <c r="U36" s="288" t="str">
        <f t="shared" si="2"/>
        <v/>
      </c>
      <c r="V36" s="36">
        <f t="shared" si="3"/>
        <v>4.9000000000000004</v>
      </c>
    </row>
    <row r="37" spans="2:22">
      <c r="B37" s="307"/>
      <c r="C37" s="307"/>
      <c r="D37" s="707"/>
      <c r="E37" s="707"/>
      <c r="F37" s="707"/>
      <c r="G37" s="707"/>
      <c r="H37" s="707"/>
      <c r="I37" s="707"/>
      <c r="J37" s="707"/>
      <c r="K37" s="707"/>
      <c r="L37" s="707"/>
      <c r="M37" s="707"/>
      <c r="N37" s="707"/>
      <c r="O37" s="707"/>
      <c r="P37" s="707"/>
      <c r="Q37" s="707"/>
      <c r="R37" s="707"/>
      <c r="S37" s="288" t="str">
        <f t="shared" si="0"/>
        <v/>
      </c>
      <c r="T37" s="288">
        <f t="shared" si="1"/>
        <v>9.4716494845360821E-2</v>
      </c>
      <c r="U37" s="288" t="str">
        <f t="shared" si="2"/>
        <v/>
      </c>
      <c r="V37" s="36">
        <f t="shared" si="3"/>
        <v>4.9000000000000004</v>
      </c>
    </row>
    <row r="38" spans="2:22">
      <c r="B38" s="307"/>
      <c r="C38" s="307"/>
      <c r="D38" s="707"/>
      <c r="E38" s="707"/>
      <c r="F38" s="707"/>
      <c r="G38" s="707"/>
      <c r="H38" s="707"/>
      <c r="I38" s="707"/>
      <c r="J38" s="707"/>
      <c r="K38" s="707"/>
      <c r="L38" s="707"/>
      <c r="M38" s="707"/>
      <c r="N38" s="707"/>
      <c r="O38" s="707"/>
      <c r="P38" s="707"/>
      <c r="Q38" s="707"/>
      <c r="R38" s="707"/>
      <c r="S38" s="288" t="str">
        <f t="shared" si="0"/>
        <v/>
      </c>
      <c r="T38" s="288">
        <f t="shared" si="1"/>
        <v>9.4716494845360821E-2</v>
      </c>
      <c r="U38" s="288" t="str">
        <f t="shared" si="2"/>
        <v/>
      </c>
      <c r="V38" s="36">
        <f t="shared" si="3"/>
        <v>4.9000000000000004</v>
      </c>
    </row>
    <row r="39" spans="2:22">
      <c r="B39" s="307"/>
      <c r="C39" s="307"/>
      <c r="D39" s="707"/>
      <c r="E39" s="707"/>
      <c r="F39" s="707"/>
      <c r="G39" s="707"/>
      <c r="H39" s="707"/>
      <c r="I39" s="707"/>
      <c r="J39" s="707"/>
      <c r="K39" s="707"/>
      <c r="L39" s="707"/>
      <c r="M39" s="707"/>
      <c r="N39" s="707"/>
      <c r="O39" s="707"/>
      <c r="P39" s="707"/>
      <c r="Q39" s="707"/>
      <c r="R39" s="707"/>
      <c r="S39" s="288" t="str">
        <f t="shared" si="0"/>
        <v/>
      </c>
      <c r="T39" s="288">
        <f t="shared" si="1"/>
        <v>9.4716494845360821E-2</v>
      </c>
      <c r="U39" s="288" t="str">
        <f t="shared" si="2"/>
        <v/>
      </c>
      <c r="V39" s="36">
        <f t="shared" si="3"/>
        <v>4.9000000000000004</v>
      </c>
    </row>
    <row r="40" spans="2:22">
      <c r="B40" s="307"/>
      <c r="C40" s="307"/>
      <c r="D40" s="707"/>
      <c r="E40" s="707"/>
      <c r="F40" s="707"/>
      <c r="G40" s="707"/>
      <c r="H40" s="707"/>
      <c r="I40" s="707"/>
      <c r="J40" s="707"/>
      <c r="K40" s="707"/>
      <c r="L40" s="707"/>
      <c r="M40" s="707"/>
      <c r="N40" s="707"/>
      <c r="O40" s="707"/>
      <c r="P40" s="707"/>
      <c r="Q40" s="707"/>
      <c r="R40" s="707"/>
      <c r="S40" s="288" t="str">
        <f t="shared" si="0"/>
        <v/>
      </c>
      <c r="T40" s="288">
        <f t="shared" si="1"/>
        <v>9.4716494845360821E-2</v>
      </c>
      <c r="U40" s="288" t="str">
        <f t="shared" si="2"/>
        <v/>
      </c>
      <c r="V40" s="36">
        <f t="shared" si="3"/>
        <v>4.9000000000000004</v>
      </c>
    </row>
    <row r="41" spans="2:22">
      <c r="B41" s="307"/>
      <c r="C41" s="307"/>
      <c r="D41" s="707"/>
      <c r="E41" s="707"/>
      <c r="F41" s="707"/>
      <c r="G41" s="707"/>
      <c r="H41" s="707"/>
      <c r="I41" s="707"/>
      <c r="J41" s="707"/>
      <c r="K41" s="707"/>
      <c r="L41" s="707"/>
      <c r="M41" s="707"/>
      <c r="N41" s="707"/>
      <c r="O41" s="707"/>
      <c r="P41" s="707"/>
      <c r="Q41" s="707"/>
      <c r="R41" s="707"/>
      <c r="S41" s="288" t="str">
        <f t="shared" si="0"/>
        <v/>
      </c>
      <c r="T41" s="288">
        <f t="shared" si="1"/>
        <v>9.4716494845360821E-2</v>
      </c>
      <c r="U41" s="288" t="str">
        <f t="shared" si="2"/>
        <v/>
      </c>
      <c r="V41" s="36">
        <f t="shared" si="3"/>
        <v>4.9000000000000004</v>
      </c>
    </row>
    <row r="42" spans="2:22">
      <c r="B42" s="307"/>
      <c r="C42" s="307"/>
      <c r="D42" s="707"/>
      <c r="E42" s="707"/>
      <c r="F42" s="707"/>
      <c r="G42" s="707"/>
      <c r="H42" s="707"/>
      <c r="I42" s="707"/>
      <c r="J42" s="707"/>
      <c r="K42" s="707"/>
      <c r="L42" s="707"/>
      <c r="M42" s="707"/>
      <c r="N42" s="707"/>
      <c r="O42" s="707"/>
      <c r="P42" s="707"/>
      <c r="Q42" s="707"/>
      <c r="R42" s="707"/>
      <c r="S42" s="288" t="str">
        <f t="shared" si="0"/>
        <v/>
      </c>
      <c r="T42" s="288">
        <f t="shared" si="1"/>
        <v>9.4716494845360821E-2</v>
      </c>
      <c r="U42" s="288" t="str">
        <f t="shared" si="2"/>
        <v/>
      </c>
      <c r="V42" s="36">
        <f t="shared" si="3"/>
        <v>4.9000000000000004</v>
      </c>
    </row>
    <row r="43" spans="2:22">
      <c r="B43" s="307"/>
      <c r="C43" s="307"/>
      <c r="D43" s="707"/>
      <c r="E43" s="707"/>
      <c r="F43" s="707"/>
      <c r="G43" s="707"/>
      <c r="H43" s="707"/>
      <c r="I43" s="707"/>
      <c r="J43" s="707"/>
      <c r="K43" s="707"/>
      <c r="L43" s="707"/>
      <c r="M43" s="707"/>
      <c r="N43" s="707"/>
      <c r="O43" s="707"/>
      <c r="P43" s="707"/>
      <c r="Q43" s="707"/>
      <c r="R43" s="707"/>
      <c r="S43" s="288" t="str">
        <f t="shared" si="0"/>
        <v/>
      </c>
      <c r="T43" s="288">
        <f t="shared" si="1"/>
        <v>9.4716494845360821E-2</v>
      </c>
      <c r="U43" s="288" t="str">
        <f t="shared" si="2"/>
        <v/>
      </c>
      <c r="V43" s="36">
        <f t="shared" si="3"/>
        <v>4.9000000000000004</v>
      </c>
    </row>
    <row r="44" spans="2:22">
      <c r="B44" s="307"/>
      <c r="C44" s="307"/>
      <c r="D44" s="707"/>
      <c r="E44" s="707"/>
      <c r="F44" s="707"/>
      <c r="G44" s="707"/>
      <c r="H44" s="707"/>
      <c r="I44" s="707"/>
      <c r="J44" s="707"/>
      <c r="K44" s="707"/>
      <c r="L44" s="707"/>
      <c r="M44" s="707"/>
      <c r="N44" s="707"/>
      <c r="O44" s="707"/>
      <c r="P44" s="707"/>
      <c r="Q44" s="707"/>
      <c r="R44" s="707"/>
      <c r="S44" s="288" t="str">
        <f t="shared" si="0"/>
        <v/>
      </c>
      <c r="T44" s="288">
        <f t="shared" si="1"/>
        <v>9.4716494845360821E-2</v>
      </c>
      <c r="U44" s="288" t="str">
        <f t="shared" si="2"/>
        <v/>
      </c>
      <c r="V44" s="36">
        <f t="shared" si="3"/>
        <v>4.9000000000000004</v>
      </c>
    </row>
    <row r="45" spans="2:22">
      <c r="B45" s="307"/>
      <c r="C45" s="307"/>
      <c r="D45" s="707"/>
      <c r="E45" s="707"/>
      <c r="F45" s="707"/>
      <c r="G45" s="707"/>
      <c r="H45" s="707"/>
      <c r="I45" s="707"/>
      <c r="J45" s="707"/>
      <c r="K45" s="707"/>
      <c r="L45" s="707"/>
      <c r="M45" s="707"/>
      <c r="N45" s="707"/>
      <c r="O45" s="707"/>
      <c r="P45" s="707"/>
      <c r="Q45" s="707"/>
      <c r="R45" s="707"/>
      <c r="S45" s="288" t="str">
        <f t="shared" si="0"/>
        <v/>
      </c>
      <c r="T45" s="288">
        <f t="shared" si="1"/>
        <v>9.4716494845360821E-2</v>
      </c>
      <c r="U45" s="288" t="str">
        <f t="shared" si="2"/>
        <v/>
      </c>
      <c r="V45" s="36">
        <f t="shared" si="3"/>
        <v>4.9000000000000004</v>
      </c>
    </row>
    <row r="46" spans="2:22">
      <c r="B46" s="307"/>
      <c r="C46" s="307"/>
      <c r="D46" s="707"/>
      <c r="E46" s="707"/>
      <c r="F46" s="707"/>
      <c r="G46" s="707"/>
      <c r="H46" s="707"/>
      <c r="I46" s="707"/>
      <c r="J46" s="707"/>
      <c r="K46" s="707"/>
      <c r="L46" s="707"/>
      <c r="M46" s="707"/>
      <c r="N46" s="707"/>
      <c r="O46" s="707"/>
      <c r="P46" s="707"/>
      <c r="Q46" s="707"/>
      <c r="R46" s="707"/>
      <c r="S46" s="288" t="str">
        <f t="shared" si="0"/>
        <v/>
      </c>
      <c r="T46" s="288">
        <f t="shared" si="1"/>
        <v>9.4716494845360821E-2</v>
      </c>
      <c r="U46" s="288" t="str">
        <f t="shared" si="2"/>
        <v/>
      </c>
      <c r="V46" s="36">
        <f t="shared" si="3"/>
        <v>4.9000000000000004</v>
      </c>
    </row>
    <row r="47" spans="2:22">
      <c r="B47" s="307"/>
      <c r="C47" s="307"/>
      <c r="D47" s="707"/>
      <c r="E47" s="707"/>
      <c r="F47" s="707"/>
      <c r="G47" s="707"/>
      <c r="H47" s="707"/>
      <c r="I47" s="707"/>
      <c r="J47" s="707"/>
      <c r="K47" s="707"/>
      <c r="L47" s="707"/>
      <c r="M47" s="707"/>
      <c r="N47" s="707"/>
      <c r="O47" s="707"/>
      <c r="P47" s="707"/>
      <c r="Q47" s="707"/>
      <c r="R47" s="707"/>
      <c r="S47" s="288" t="str">
        <f t="shared" si="0"/>
        <v/>
      </c>
      <c r="T47" s="288">
        <f t="shared" si="1"/>
        <v>9.4716494845360821E-2</v>
      </c>
      <c r="U47" s="288" t="str">
        <f t="shared" si="2"/>
        <v/>
      </c>
      <c r="V47" s="36">
        <f t="shared" si="3"/>
        <v>4.9000000000000004</v>
      </c>
    </row>
    <row r="48" spans="2:22">
      <c r="B48" s="307"/>
      <c r="C48" s="307"/>
      <c r="D48" s="707"/>
      <c r="E48" s="707"/>
      <c r="F48" s="707"/>
      <c r="G48" s="707"/>
      <c r="H48" s="707"/>
      <c r="I48" s="707"/>
      <c r="J48" s="707"/>
      <c r="K48" s="707"/>
      <c r="L48" s="707"/>
      <c r="M48" s="707"/>
      <c r="N48" s="707"/>
      <c r="O48" s="707"/>
      <c r="P48" s="707"/>
      <c r="Q48" s="707"/>
      <c r="R48" s="707"/>
      <c r="S48" s="288" t="str">
        <f t="shared" si="0"/>
        <v/>
      </c>
      <c r="T48" s="288">
        <f t="shared" si="1"/>
        <v>9.4716494845360821E-2</v>
      </c>
      <c r="U48" s="288" t="str">
        <f t="shared" si="2"/>
        <v/>
      </c>
      <c r="V48" s="36">
        <f t="shared" si="3"/>
        <v>4.9000000000000004</v>
      </c>
    </row>
    <row r="49" spans="2:22">
      <c r="B49" s="307"/>
      <c r="C49" s="307"/>
      <c r="D49" s="707"/>
      <c r="E49" s="707"/>
      <c r="F49" s="707"/>
      <c r="G49" s="707"/>
      <c r="H49" s="707"/>
      <c r="I49" s="707"/>
      <c r="J49" s="707"/>
      <c r="K49" s="707"/>
      <c r="L49" s="707"/>
      <c r="M49" s="707"/>
      <c r="N49" s="707"/>
      <c r="O49" s="707"/>
      <c r="P49" s="707"/>
      <c r="Q49" s="707"/>
      <c r="R49" s="707"/>
      <c r="S49" s="288" t="str">
        <f t="shared" si="0"/>
        <v/>
      </c>
      <c r="T49" s="288">
        <f t="shared" si="1"/>
        <v>9.4716494845360821E-2</v>
      </c>
      <c r="U49" s="288" t="str">
        <f t="shared" si="2"/>
        <v/>
      </c>
      <c r="V49" s="36">
        <f t="shared" si="3"/>
        <v>4.9000000000000004</v>
      </c>
    </row>
    <row r="50" spans="2:22">
      <c r="B50" s="307"/>
      <c r="C50" s="307"/>
      <c r="D50" s="707"/>
      <c r="E50" s="707"/>
      <c r="F50" s="707"/>
      <c r="G50" s="707"/>
      <c r="H50" s="707"/>
      <c r="I50" s="707"/>
      <c r="J50" s="707"/>
      <c r="K50" s="707"/>
      <c r="L50" s="707"/>
      <c r="M50" s="707"/>
      <c r="N50" s="707"/>
      <c r="O50" s="707"/>
      <c r="P50" s="707"/>
      <c r="Q50" s="707"/>
      <c r="R50" s="707"/>
      <c r="S50" s="288" t="str">
        <f t="shared" si="0"/>
        <v/>
      </c>
      <c r="T50" s="288">
        <f t="shared" si="1"/>
        <v>9.4716494845360821E-2</v>
      </c>
      <c r="U50" s="288" t="str">
        <f t="shared" si="2"/>
        <v/>
      </c>
      <c r="V50" s="36">
        <f t="shared" si="3"/>
        <v>4.9000000000000004</v>
      </c>
    </row>
    <row r="51" spans="2:22">
      <c r="B51" s="307"/>
      <c r="C51" s="307"/>
      <c r="D51" s="707"/>
      <c r="E51" s="707"/>
      <c r="F51" s="707"/>
      <c r="G51" s="707"/>
      <c r="H51" s="707"/>
      <c r="I51" s="707"/>
      <c r="J51" s="707"/>
      <c r="K51" s="707"/>
      <c r="L51" s="707"/>
      <c r="M51" s="707"/>
      <c r="N51" s="707"/>
      <c r="O51" s="707"/>
      <c r="P51" s="707"/>
      <c r="Q51" s="707"/>
      <c r="R51" s="707"/>
      <c r="S51" s="288" t="str">
        <f t="shared" si="0"/>
        <v/>
      </c>
      <c r="T51" s="288">
        <f t="shared" si="1"/>
        <v>9.4716494845360821E-2</v>
      </c>
      <c r="U51" s="288" t="str">
        <f t="shared" si="2"/>
        <v/>
      </c>
      <c r="V51" s="36">
        <f t="shared" si="3"/>
        <v>4.9000000000000004</v>
      </c>
    </row>
    <row r="52" spans="2:22">
      <c r="B52" s="307"/>
      <c r="C52" s="307"/>
      <c r="D52" s="707"/>
      <c r="E52" s="707"/>
      <c r="F52" s="707"/>
      <c r="G52" s="707"/>
      <c r="H52" s="707"/>
      <c r="I52" s="707"/>
      <c r="J52" s="707"/>
      <c r="K52" s="707"/>
      <c r="L52" s="707"/>
      <c r="M52" s="707"/>
      <c r="N52" s="707"/>
      <c r="O52" s="707"/>
      <c r="P52" s="707"/>
      <c r="Q52" s="707"/>
      <c r="R52" s="707"/>
      <c r="S52" s="288" t="str">
        <f t="shared" si="0"/>
        <v/>
      </c>
      <c r="T52" s="288">
        <f t="shared" si="1"/>
        <v>9.4716494845360821E-2</v>
      </c>
      <c r="U52" s="288" t="str">
        <f t="shared" si="2"/>
        <v/>
      </c>
      <c r="V52" s="36">
        <f t="shared" si="3"/>
        <v>4.9000000000000004</v>
      </c>
    </row>
    <row r="53" spans="2:22">
      <c r="B53" s="307"/>
      <c r="C53" s="307"/>
      <c r="D53" s="707"/>
      <c r="E53" s="707"/>
      <c r="F53" s="707"/>
      <c r="G53" s="707"/>
      <c r="H53" s="707"/>
      <c r="I53" s="707"/>
      <c r="J53" s="707"/>
      <c r="K53" s="707"/>
      <c r="L53" s="707"/>
      <c r="M53" s="707"/>
      <c r="N53" s="707"/>
      <c r="O53" s="707"/>
      <c r="P53" s="707"/>
      <c r="Q53" s="707"/>
      <c r="R53" s="707"/>
      <c r="S53" s="288" t="str">
        <f t="shared" si="0"/>
        <v/>
      </c>
      <c r="T53" s="288">
        <f t="shared" si="1"/>
        <v>9.4716494845360821E-2</v>
      </c>
      <c r="U53" s="288" t="str">
        <f t="shared" si="2"/>
        <v/>
      </c>
      <c r="V53" s="36">
        <f t="shared" si="3"/>
        <v>4.9000000000000004</v>
      </c>
    </row>
    <row r="54" spans="2:22">
      <c r="B54" s="307"/>
      <c r="C54" s="307"/>
      <c r="D54" s="707"/>
      <c r="E54" s="707"/>
      <c r="F54" s="707"/>
      <c r="G54" s="707"/>
      <c r="H54" s="707"/>
      <c r="I54" s="707"/>
      <c r="J54" s="707"/>
      <c r="K54" s="707"/>
      <c r="L54" s="707"/>
      <c r="M54" s="707"/>
      <c r="N54" s="707"/>
      <c r="O54" s="707"/>
      <c r="P54" s="707"/>
      <c r="Q54" s="707"/>
      <c r="R54" s="707"/>
      <c r="S54" s="288" t="str">
        <f t="shared" si="0"/>
        <v/>
      </c>
      <c r="T54" s="288">
        <f t="shared" si="1"/>
        <v>9.4716494845360821E-2</v>
      </c>
      <c r="U54" s="288" t="str">
        <f t="shared" si="2"/>
        <v/>
      </c>
      <c r="V54" s="36">
        <f t="shared" si="3"/>
        <v>4.9000000000000004</v>
      </c>
    </row>
    <row r="55" spans="2:22">
      <c r="B55" s="307"/>
      <c r="C55" s="307"/>
      <c r="D55" s="707"/>
      <c r="E55" s="707"/>
      <c r="F55" s="707"/>
      <c r="G55" s="707"/>
      <c r="H55" s="707"/>
      <c r="I55" s="707"/>
      <c r="J55" s="707"/>
      <c r="K55" s="707"/>
      <c r="L55" s="707"/>
      <c r="M55" s="707"/>
      <c r="N55" s="707"/>
      <c r="O55" s="707"/>
      <c r="P55" s="707"/>
      <c r="Q55" s="707"/>
      <c r="R55" s="707"/>
      <c r="S55" s="288" t="str">
        <f t="shared" si="0"/>
        <v/>
      </c>
      <c r="T55" s="288">
        <f t="shared" si="1"/>
        <v>9.4716494845360821E-2</v>
      </c>
      <c r="U55" s="288" t="str">
        <f t="shared" si="2"/>
        <v/>
      </c>
      <c r="V55" s="36">
        <f t="shared" si="3"/>
        <v>4.9000000000000004</v>
      </c>
    </row>
    <row r="56" spans="2:22">
      <c r="B56" s="307"/>
      <c r="C56" s="307"/>
      <c r="D56" s="707"/>
      <c r="E56" s="707"/>
      <c r="F56" s="707"/>
      <c r="G56" s="707"/>
      <c r="H56" s="707"/>
      <c r="I56" s="707"/>
      <c r="J56" s="707"/>
      <c r="K56" s="707"/>
      <c r="L56" s="707"/>
      <c r="M56" s="707"/>
      <c r="N56" s="707"/>
      <c r="O56" s="707"/>
      <c r="P56" s="707"/>
      <c r="Q56" s="707"/>
      <c r="R56" s="707"/>
      <c r="S56" s="288" t="str">
        <f t="shared" si="0"/>
        <v/>
      </c>
      <c r="T56" s="288">
        <f t="shared" si="1"/>
        <v>9.4716494845360821E-2</v>
      </c>
      <c r="U56" s="288" t="str">
        <f t="shared" si="2"/>
        <v/>
      </c>
      <c r="V56" s="36">
        <f t="shared" si="3"/>
        <v>4.9000000000000004</v>
      </c>
    </row>
    <row r="57" spans="2:22">
      <c r="B57" s="307"/>
      <c r="C57" s="307"/>
      <c r="D57" s="707"/>
      <c r="E57" s="707"/>
      <c r="F57" s="707"/>
      <c r="G57" s="707"/>
      <c r="H57" s="707"/>
      <c r="I57" s="707"/>
      <c r="J57" s="707"/>
      <c r="K57" s="707"/>
      <c r="L57" s="707"/>
      <c r="M57" s="707"/>
      <c r="N57" s="707"/>
      <c r="O57" s="707"/>
      <c r="P57" s="707"/>
      <c r="Q57" s="707"/>
      <c r="R57" s="707"/>
      <c r="S57" s="288" t="str">
        <f t="shared" si="0"/>
        <v/>
      </c>
      <c r="T57" s="288">
        <f t="shared" si="1"/>
        <v>9.4716494845360821E-2</v>
      </c>
      <c r="U57" s="288" t="str">
        <f t="shared" si="2"/>
        <v/>
      </c>
      <c r="V57" s="36">
        <f t="shared" si="3"/>
        <v>4.9000000000000004</v>
      </c>
    </row>
    <row r="58" spans="2:22">
      <c r="B58" s="307"/>
      <c r="C58" s="307"/>
      <c r="D58" s="707"/>
      <c r="E58" s="707"/>
      <c r="F58" s="707"/>
      <c r="G58" s="707"/>
      <c r="H58" s="707"/>
      <c r="I58" s="707"/>
      <c r="J58" s="707"/>
      <c r="K58" s="707"/>
      <c r="L58" s="707"/>
      <c r="M58" s="707"/>
      <c r="N58" s="707"/>
      <c r="O58" s="707"/>
      <c r="P58" s="707"/>
      <c r="Q58" s="707"/>
      <c r="R58" s="707"/>
      <c r="S58" s="288" t="str">
        <f t="shared" si="0"/>
        <v/>
      </c>
      <c r="T58" s="288">
        <f t="shared" si="1"/>
        <v>9.4716494845360821E-2</v>
      </c>
      <c r="U58" s="288" t="str">
        <f t="shared" si="2"/>
        <v/>
      </c>
      <c r="V58" s="36">
        <f t="shared" si="3"/>
        <v>4.9000000000000004</v>
      </c>
    </row>
    <row r="59" spans="2:22">
      <c r="B59" s="307"/>
      <c r="C59" s="307"/>
      <c r="D59" s="707"/>
      <c r="E59" s="707"/>
      <c r="F59" s="707"/>
      <c r="G59" s="707"/>
      <c r="H59" s="707"/>
      <c r="I59" s="707"/>
      <c r="J59" s="707"/>
      <c r="K59" s="707"/>
      <c r="L59" s="707"/>
      <c r="M59" s="707"/>
      <c r="N59" s="707"/>
      <c r="O59" s="707"/>
      <c r="P59" s="707"/>
      <c r="Q59" s="707"/>
      <c r="R59" s="707"/>
      <c r="S59" s="288" t="str">
        <f t="shared" si="0"/>
        <v/>
      </c>
      <c r="T59" s="288">
        <f t="shared" si="1"/>
        <v>9.4716494845360821E-2</v>
      </c>
      <c r="U59" s="288" t="str">
        <f t="shared" si="2"/>
        <v/>
      </c>
      <c r="V59" s="36">
        <f t="shared" si="3"/>
        <v>4.9000000000000004</v>
      </c>
    </row>
    <row r="60" spans="2:22">
      <c r="B60" s="307"/>
      <c r="C60" s="307"/>
      <c r="D60" s="707"/>
      <c r="E60" s="707"/>
      <c r="F60" s="707"/>
      <c r="G60" s="707"/>
      <c r="H60" s="707"/>
      <c r="I60" s="707"/>
      <c r="J60" s="707"/>
      <c r="K60" s="707"/>
      <c r="L60" s="707"/>
      <c r="M60" s="707"/>
      <c r="N60" s="707"/>
      <c r="O60" s="707"/>
      <c r="P60" s="707"/>
      <c r="Q60" s="707"/>
      <c r="R60" s="707"/>
      <c r="S60" s="288" t="str">
        <f t="shared" si="0"/>
        <v/>
      </c>
      <c r="T60" s="288">
        <f t="shared" si="1"/>
        <v>9.4716494845360821E-2</v>
      </c>
      <c r="U60" s="288" t="str">
        <f t="shared" si="2"/>
        <v/>
      </c>
      <c r="V60" s="36">
        <f t="shared" si="3"/>
        <v>4.9000000000000004</v>
      </c>
    </row>
    <row r="61" spans="2:22">
      <c r="B61" s="307"/>
      <c r="C61" s="307"/>
      <c r="D61" s="707"/>
      <c r="E61" s="707"/>
      <c r="F61" s="707"/>
      <c r="G61" s="707"/>
      <c r="H61" s="707"/>
      <c r="I61" s="707"/>
      <c r="J61" s="707"/>
      <c r="K61" s="707"/>
      <c r="L61" s="707"/>
      <c r="M61" s="707"/>
      <c r="N61" s="707"/>
      <c r="O61" s="707"/>
      <c r="P61" s="707"/>
      <c r="Q61" s="707"/>
      <c r="R61" s="707"/>
      <c r="S61" s="288" t="str">
        <f t="shared" si="0"/>
        <v/>
      </c>
      <c r="T61" s="288">
        <f t="shared" si="1"/>
        <v>9.4716494845360821E-2</v>
      </c>
      <c r="U61" s="288" t="str">
        <f t="shared" si="2"/>
        <v/>
      </c>
      <c r="V61" s="36">
        <f t="shared" si="3"/>
        <v>4.9000000000000004</v>
      </c>
    </row>
    <row r="62" spans="2:22">
      <c r="B62" s="307"/>
      <c r="C62" s="307"/>
      <c r="D62" s="707"/>
      <c r="E62" s="707"/>
      <c r="F62" s="707"/>
      <c r="G62" s="707"/>
      <c r="H62" s="707"/>
      <c r="I62" s="707"/>
      <c r="J62" s="707"/>
      <c r="K62" s="707"/>
      <c r="L62" s="707"/>
      <c r="M62" s="707"/>
      <c r="N62" s="707"/>
      <c r="O62" s="707"/>
      <c r="P62" s="707"/>
      <c r="Q62" s="707"/>
      <c r="R62" s="707"/>
      <c r="S62" s="288" t="str">
        <f t="shared" si="0"/>
        <v/>
      </c>
      <c r="T62" s="288">
        <f t="shared" si="1"/>
        <v>9.4716494845360821E-2</v>
      </c>
      <c r="U62" s="288" t="str">
        <f t="shared" si="2"/>
        <v/>
      </c>
      <c r="V62" s="36">
        <f t="shared" si="3"/>
        <v>4.9000000000000004</v>
      </c>
    </row>
    <row r="63" spans="2:22">
      <c r="B63" s="307"/>
      <c r="C63" s="307"/>
      <c r="D63" s="707"/>
      <c r="E63" s="707"/>
      <c r="F63" s="707"/>
      <c r="G63" s="707"/>
      <c r="H63" s="707"/>
      <c r="I63" s="707"/>
      <c r="J63" s="707"/>
      <c r="K63" s="707"/>
      <c r="L63" s="707"/>
      <c r="M63" s="707"/>
      <c r="N63" s="707"/>
      <c r="O63" s="707"/>
      <c r="P63" s="707"/>
      <c r="Q63" s="707"/>
      <c r="R63" s="707"/>
      <c r="S63" s="288" t="str">
        <f t="shared" si="0"/>
        <v/>
      </c>
      <c r="T63" s="288">
        <f t="shared" si="1"/>
        <v>9.4716494845360821E-2</v>
      </c>
      <c r="U63" s="288" t="str">
        <f t="shared" si="2"/>
        <v/>
      </c>
      <c r="V63" s="36">
        <f t="shared" si="3"/>
        <v>4.9000000000000004</v>
      </c>
    </row>
    <row r="64" spans="2:22">
      <c r="B64" s="307"/>
      <c r="C64" s="307"/>
      <c r="D64" s="707"/>
      <c r="E64" s="707"/>
      <c r="F64" s="707"/>
      <c r="G64" s="707"/>
      <c r="H64" s="707"/>
      <c r="I64" s="707"/>
      <c r="J64" s="707"/>
      <c r="K64" s="707"/>
      <c r="L64" s="707"/>
      <c r="M64" s="707"/>
      <c r="N64" s="707"/>
      <c r="O64" s="707"/>
      <c r="P64" s="707"/>
      <c r="Q64" s="707"/>
      <c r="R64" s="707"/>
      <c r="S64" s="288" t="str">
        <f t="shared" si="0"/>
        <v/>
      </c>
      <c r="T64" s="288">
        <f t="shared" si="1"/>
        <v>9.4716494845360821E-2</v>
      </c>
      <c r="U64" s="288" t="str">
        <f t="shared" si="2"/>
        <v/>
      </c>
      <c r="V64" s="36">
        <f t="shared" si="3"/>
        <v>4.9000000000000004</v>
      </c>
    </row>
    <row r="65" spans="2:22">
      <c r="B65" s="307"/>
      <c r="C65" s="307"/>
      <c r="D65" s="707"/>
      <c r="E65" s="707"/>
      <c r="F65" s="707"/>
      <c r="G65" s="707"/>
      <c r="H65" s="707"/>
      <c r="I65" s="707"/>
      <c r="J65" s="707"/>
      <c r="K65" s="707"/>
      <c r="L65" s="707"/>
      <c r="M65" s="707"/>
      <c r="N65" s="707"/>
      <c r="O65" s="707"/>
      <c r="P65" s="707"/>
      <c r="Q65" s="707"/>
      <c r="R65" s="707"/>
      <c r="S65" s="288" t="str">
        <f t="shared" si="0"/>
        <v/>
      </c>
      <c r="T65" s="288">
        <f t="shared" si="1"/>
        <v>9.4716494845360821E-2</v>
      </c>
      <c r="U65" s="288" t="str">
        <f t="shared" si="2"/>
        <v/>
      </c>
      <c r="V65" s="36">
        <f t="shared" si="3"/>
        <v>4.9000000000000004</v>
      </c>
    </row>
    <row r="66" spans="2:22">
      <c r="B66" s="307"/>
      <c r="C66" s="307"/>
      <c r="D66" s="707"/>
      <c r="E66" s="707"/>
      <c r="F66" s="707"/>
      <c r="G66" s="707"/>
      <c r="H66" s="707"/>
      <c r="I66" s="707"/>
      <c r="J66" s="707"/>
      <c r="K66" s="707"/>
      <c r="L66" s="707"/>
      <c r="M66" s="707"/>
      <c r="N66" s="707"/>
      <c r="O66" s="707"/>
      <c r="P66" s="707"/>
      <c r="Q66" s="707"/>
      <c r="R66" s="707"/>
      <c r="S66" s="288" t="str">
        <f t="shared" si="0"/>
        <v/>
      </c>
      <c r="T66" s="288">
        <f t="shared" si="1"/>
        <v>9.4716494845360821E-2</v>
      </c>
      <c r="U66" s="288" t="str">
        <f t="shared" si="2"/>
        <v/>
      </c>
      <c r="V66" s="36">
        <f t="shared" si="3"/>
        <v>4.9000000000000004</v>
      </c>
    </row>
    <row r="67" spans="2:22">
      <c r="B67" s="307"/>
      <c r="C67" s="307"/>
      <c r="D67" s="707"/>
      <c r="E67" s="707"/>
      <c r="F67" s="707"/>
      <c r="G67" s="707"/>
      <c r="H67" s="707"/>
      <c r="I67" s="707"/>
      <c r="J67" s="707"/>
      <c r="K67" s="707"/>
      <c r="L67" s="707"/>
      <c r="M67" s="707"/>
      <c r="N67" s="707"/>
      <c r="O67" s="707"/>
      <c r="P67" s="707"/>
      <c r="Q67" s="707"/>
      <c r="R67" s="707"/>
      <c r="S67" s="288" t="str">
        <f t="shared" ref="S67:S70" si="4">IF(B67&lt;&gt;"", AVERAGE(C67:C86)*T67-(3*SQRT(AVERAGE(C67:C86)*T67*(1-T67))), "")</f>
        <v/>
      </c>
      <c r="T67" s="288">
        <f t="shared" ref="T67:T70" si="5">SUM(B:B)/SUM(C:C)</f>
        <v>9.4716494845360821E-2</v>
      </c>
      <c r="U67" s="288" t="str">
        <f t="shared" ref="U67:U70" si="6">IF(B67&lt;&gt;"", AVERAGE(C67:C86)*T67+(3*SQRT(AVERAGE(C67:C86)*T67*(1-T67))), "")</f>
        <v/>
      </c>
      <c r="V67" s="36">
        <f t="shared" si="3"/>
        <v>4.9000000000000004</v>
      </c>
    </row>
    <row r="68" spans="2:22">
      <c r="B68" s="307"/>
      <c r="C68" s="307"/>
      <c r="D68" s="707"/>
      <c r="E68" s="707"/>
      <c r="F68" s="707"/>
      <c r="G68" s="707"/>
      <c r="H68" s="707"/>
      <c r="I68" s="707"/>
      <c r="J68" s="707"/>
      <c r="K68" s="707"/>
      <c r="L68" s="707"/>
      <c r="M68" s="707"/>
      <c r="N68" s="707"/>
      <c r="O68" s="707"/>
      <c r="P68" s="707"/>
      <c r="Q68" s="707"/>
      <c r="R68" s="707"/>
      <c r="S68" s="288" t="str">
        <f t="shared" si="4"/>
        <v/>
      </c>
      <c r="T68" s="288">
        <f t="shared" si="5"/>
        <v>9.4716494845360821E-2</v>
      </c>
      <c r="U68" s="288" t="str">
        <f t="shared" si="6"/>
        <v/>
      </c>
      <c r="V68" s="36">
        <f t="shared" ref="V68:V101" si="7">V67</f>
        <v>4.9000000000000004</v>
      </c>
    </row>
    <row r="69" spans="2:22">
      <c r="B69" s="307"/>
      <c r="C69" s="307"/>
      <c r="D69" s="707"/>
      <c r="E69" s="707"/>
      <c r="F69" s="707"/>
      <c r="G69" s="707"/>
      <c r="H69" s="707"/>
      <c r="I69" s="707"/>
      <c r="J69" s="707"/>
      <c r="K69" s="707"/>
      <c r="L69" s="707"/>
      <c r="M69" s="707"/>
      <c r="N69" s="707"/>
      <c r="O69" s="707"/>
      <c r="P69" s="707"/>
      <c r="Q69" s="707"/>
      <c r="R69" s="707"/>
      <c r="S69" s="288" t="str">
        <f t="shared" si="4"/>
        <v/>
      </c>
      <c r="T69" s="288">
        <f t="shared" si="5"/>
        <v>9.4716494845360821E-2</v>
      </c>
      <c r="U69" s="288" t="str">
        <f t="shared" si="6"/>
        <v/>
      </c>
      <c r="V69" s="36">
        <f t="shared" si="7"/>
        <v>4.9000000000000004</v>
      </c>
    </row>
    <row r="70" spans="2:22">
      <c r="B70" s="307"/>
      <c r="C70" s="307"/>
      <c r="D70" s="707"/>
      <c r="E70" s="707"/>
      <c r="F70" s="707"/>
      <c r="G70" s="707"/>
      <c r="H70" s="707"/>
      <c r="I70" s="707"/>
      <c r="J70" s="707"/>
      <c r="K70" s="707"/>
      <c r="L70" s="707"/>
      <c r="M70" s="707"/>
      <c r="N70" s="707"/>
      <c r="O70" s="707"/>
      <c r="P70" s="707"/>
      <c r="Q70" s="707"/>
      <c r="R70" s="707"/>
      <c r="S70" s="288" t="str">
        <f t="shared" si="4"/>
        <v/>
      </c>
      <c r="T70" s="288">
        <f t="shared" si="5"/>
        <v>9.4716494845360821E-2</v>
      </c>
      <c r="U70" s="288" t="str">
        <f t="shared" si="6"/>
        <v/>
      </c>
      <c r="V70" s="36">
        <f t="shared" si="7"/>
        <v>4.9000000000000004</v>
      </c>
    </row>
    <row r="71" spans="2:22">
      <c r="B71" s="307"/>
      <c r="C71" s="307"/>
      <c r="D71" s="707"/>
      <c r="E71" s="707"/>
      <c r="F71" s="707"/>
      <c r="G71" s="707"/>
      <c r="H71" s="707"/>
      <c r="I71" s="707"/>
      <c r="J71" s="707"/>
      <c r="K71" s="707"/>
      <c r="L71" s="707"/>
      <c r="M71" s="707"/>
      <c r="N71" s="707"/>
      <c r="O71" s="707"/>
      <c r="P71" s="707"/>
      <c r="Q71" s="707"/>
      <c r="R71" s="707"/>
      <c r="S71" s="288" t="str">
        <f t="shared" ref="S71:S101" si="8">IF(B71&lt;&gt;"", AVERAGE(C71:C90)*T71-(3*SQRT(AVERAGE(C71:C90)*T71*(1-T71))), "")</f>
        <v/>
      </c>
      <c r="T71" s="288">
        <f t="shared" ref="T71:T101" si="9">SUM(B:B)/SUM(C:C)</f>
        <v>9.4716494845360821E-2</v>
      </c>
      <c r="U71" s="288" t="str">
        <f t="shared" ref="U71:U101" si="10">IF(B71&lt;&gt;"", AVERAGE(C71:C90)*T71+(3*SQRT(AVERAGE(C71:C90)*T71*(1-T71))), "")</f>
        <v/>
      </c>
      <c r="V71" s="36">
        <f t="shared" si="7"/>
        <v>4.9000000000000004</v>
      </c>
    </row>
    <row r="72" spans="2:22">
      <c r="B72" s="307"/>
      <c r="C72" s="307"/>
      <c r="D72" s="707"/>
      <c r="E72" s="707"/>
      <c r="F72" s="707"/>
      <c r="G72" s="707"/>
      <c r="H72" s="707"/>
      <c r="I72" s="707"/>
      <c r="J72" s="707"/>
      <c r="K72" s="707"/>
      <c r="L72" s="707"/>
      <c r="M72" s="707"/>
      <c r="N72" s="707"/>
      <c r="O72" s="707"/>
      <c r="P72" s="707"/>
      <c r="Q72" s="707"/>
      <c r="R72" s="707"/>
      <c r="S72" s="288" t="str">
        <f t="shared" si="8"/>
        <v/>
      </c>
      <c r="T72" s="288">
        <f t="shared" si="9"/>
        <v>9.4716494845360821E-2</v>
      </c>
      <c r="U72" s="288" t="str">
        <f t="shared" si="10"/>
        <v/>
      </c>
      <c r="V72" s="36">
        <f t="shared" si="7"/>
        <v>4.9000000000000004</v>
      </c>
    </row>
    <row r="73" spans="2:22">
      <c r="B73" s="307"/>
      <c r="C73" s="307"/>
      <c r="D73" s="707"/>
      <c r="E73" s="707"/>
      <c r="F73" s="707"/>
      <c r="G73" s="707"/>
      <c r="H73" s="707"/>
      <c r="I73" s="707"/>
      <c r="J73" s="707"/>
      <c r="K73" s="707"/>
      <c r="L73" s="707"/>
      <c r="M73" s="707"/>
      <c r="N73" s="707"/>
      <c r="O73" s="707"/>
      <c r="P73" s="707"/>
      <c r="Q73" s="707"/>
      <c r="R73" s="707"/>
      <c r="S73" s="288" t="str">
        <f t="shared" si="8"/>
        <v/>
      </c>
      <c r="T73" s="288">
        <f t="shared" si="9"/>
        <v>9.4716494845360821E-2</v>
      </c>
      <c r="U73" s="288" t="str">
        <f t="shared" si="10"/>
        <v/>
      </c>
      <c r="V73" s="36">
        <f t="shared" si="7"/>
        <v>4.9000000000000004</v>
      </c>
    </row>
    <row r="74" spans="2:22">
      <c r="B74" s="307"/>
      <c r="C74" s="307"/>
      <c r="D74" s="707"/>
      <c r="E74" s="707"/>
      <c r="F74" s="707"/>
      <c r="G74" s="707"/>
      <c r="H74" s="707"/>
      <c r="I74" s="707"/>
      <c r="J74" s="707"/>
      <c r="K74" s="707"/>
      <c r="L74" s="707"/>
      <c r="M74" s="707"/>
      <c r="N74" s="707"/>
      <c r="O74" s="707"/>
      <c r="P74" s="707"/>
      <c r="Q74" s="707"/>
      <c r="R74" s="707"/>
      <c r="S74" s="288" t="str">
        <f t="shared" si="8"/>
        <v/>
      </c>
      <c r="T74" s="288">
        <f t="shared" si="9"/>
        <v>9.4716494845360821E-2</v>
      </c>
      <c r="U74" s="288" t="str">
        <f t="shared" si="10"/>
        <v/>
      </c>
      <c r="V74" s="36">
        <f t="shared" si="7"/>
        <v>4.9000000000000004</v>
      </c>
    </row>
    <row r="75" spans="2:22">
      <c r="B75" s="307"/>
      <c r="C75" s="307"/>
      <c r="D75" s="707"/>
      <c r="E75" s="707"/>
      <c r="F75" s="707"/>
      <c r="G75" s="707"/>
      <c r="H75" s="707"/>
      <c r="I75" s="707"/>
      <c r="J75" s="707"/>
      <c r="K75" s="707"/>
      <c r="L75" s="707"/>
      <c r="M75" s="707"/>
      <c r="N75" s="707"/>
      <c r="O75" s="707"/>
      <c r="P75" s="707"/>
      <c r="Q75" s="707"/>
      <c r="R75" s="707"/>
      <c r="S75" s="288" t="str">
        <f t="shared" si="8"/>
        <v/>
      </c>
      <c r="T75" s="288">
        <f t="shared" si="9"/>
        <v>9.4716494845360821E-2</v>
      </c>
      <c r="U75" s="288" t="str">
        <f t="shared" si="10"/>
        <v/>
      </c>
      <c r="V75" s="36">
        <f t="shared" si="7"/>
        <v>4.9000000000000004</v>
      </c>
    </row>
    <row r="76" spans="2:22">
      <c r="B76" s="307"/>
      <c r="C76" s="307"/>
      <c r="D76" s="707"/>
      <c r="E76" s="707"/>
      <c r="F76" s="707"/>
      <c r="G76" s="707"/>
      <c r="H76" s="707"/>
      <c r="I76" s="707"/>
      <c r="J76" s="707"/>
      <c r="K76" s="707"/>
      <c r="L76" s="707"/>
      <c r="M76" s="707"/>
      <c r="N76" s="707"/>
      <c r="O76" s="707"/>
      <c r="P76" s="707"/>
      <c r="Q76" s="707"/>
      <c r="R76" s="707"/>
      <c r="S76" s="288" t="str">
        <f t="shared" si="8"/>
        <v/>
      </c>
      <c r="T76" s="288">
        <f t="shared" si="9"/>
        <v>9.4716494845360821E-2</v>
      </c>
      <c r="U76" s="288" t="str">
        <f t="shared" si="10"/>
        <v/>
      </c>
      <c r="V76" s="36">
        <f t="shared" si="7"/>
        <v>4.9000000000000004</v>
      </c>
    </row>
    <row r="77" spans="2:22">
      <c r="B77" s="307"/>
      <c r="C77" s="307"/>
      <c r="D77" s="707"/>
      <c r="E77" s="707"/>
      <c r="F77" s="707"/>
      <c r="G77" s="707"/>
      <c r="H77" s="707"/>
      <c r="I77" s="707"/>
      <c r="J77" s="707"/>
      <c r="K77" s="707"/>
      <c r="L77" s="707"/>
      <c r="M77" s="707"/>
      <c r="N77" s="707"/>
      <c r="O77" s="707"/>
      <c r="P77" s="707"/>
      <c r="Q77" s="707"/>
      <c r="R77" s="707"/>
      <c r="S77" s="288" t="str">
        <f t="shared" si="8"/>
        <v/>
      </c>
      <c r="T77" s="288">
        <f t="shared" si="9"/>
        <v>9.4716494845360821E-2</v>
      </c>
      <c r="U77" s="288" t="str">
        <f t="shared" si="10"/>
        <v/>
      </c>
      <c r="V77" s="36">
        <f t="shared" si="7"/>
        <v>4.9000000000000004</v>
      </c>
    </row>
    <row r="78" spans="2:22">
      <c r="B78" s="307"/>
      <c r="C78" s="307"/>
      <c r="D78" s="707"/>
      <c r="E78" s="707"/>
      <c r="F78" s="707"/>
      <c r="G78" s="707"/>
      <c r="H78" s="707"/>
      <c r="I78" s="707"/>
      <c r="J78" s="707"/>
      <c r="K78" s="707"/>
      <c r="L78" s="707"/>
      <c r="M78" s="707"/>
      <c r="N78" s="707"/>
      <c r="O78" s="707"/>
      <c r="P78" s="707"/>
      <c r="Q78" s="707"/>
      <c r="R78" s="707"/>
      <c r="S78" s="288" t="str">
        <f t="shared" si="8"/>
        <v/>
      </c>
      <c r="T78" s="288">
        <f t="shared" si="9"/>
        <v>9.4716494845360821E-2</v>
      </c>
      <c r="U78" s="288" t="str">
        <f t="shared" si="10"/>
        <v/>
      </c>
      <c r="V78" s="36">
        <f t="shared" si="7"/>
        <v>4.9000000000000004</v>
      </c>
    </row>
    <row r="79" spans="2:22">
      <c r="B79" s="307"/>
      <c r="C79" s="307"/>
      <c r="D79" s="707"/>
      <c r="E79" s="707"/>
      <c r="F79" s="707"/>
      <c r="G79" s="707"/>
      <c r="H79" s="707"/>
      <c r="I79" s="707"/>
      <c r="J79" s="707"/>
      <c r="K79" s="707"/>
      <c r="L79" s="707"/>
      <c r="M79" s="707"/>
      <c r="N79" s="707"/>
      <c r="O79" s="707"/>
      <c r="P79" s="707"/>
      <c r="Q79" s="707"/>
      <c r="R79" s="707"/>
      <c r="S79" s="288" t="str">
        <f t="shared" si="8"/>
        <v/>
      </c>
      <c r="T79" s="288">
        <f t="shared" si="9"/>
        <v>9.4716494845360821E-2</v>
      </c>
      <c r="U79" s="288" t="str">
        <f t="shared" si="10"/>
        <v/>
      </c>
      <c r="V79" s="36">
        <f t="shared" si="7"/>
        <v>4.9000000000000004</v>
      </c>
    </row>
    <row r="80" spans="2:22">
      <c r="B80" s="307"/>
      <c r="C80" s="307"/>
      <c r="D80" s="707"/>
      <c r="E80" s="707"/>
      <c r="F80" s="707"/>
      <c r="G80" s="707"/>
      <c r="H80" s="707"/>
      <c r="I80" s="707"/>
      <c r="J80" s="707"/>
      <c r="K80" s="707"/>
      <c r="L80" s="707"/>
      <c r="M80" s="707"/>
      <c r="N80" s="707"/>
      <c r="O80" s="707"/>
      <c r="P80" s="707"/>
      <c r="Q80" s="707"/>
      <c r="R80" s="707"/>
      <c r="S80" s="288" t="str">
        <f t="shared" si="8"/>
        <v/>
      </c>
      <c r="T80" s="288">
        <f t="shared" si="9"/>
        <v>9.4716494845360821E-2</v>
      </c>
      <c r="U80" s="288" t="str">
        <f t="shared" si="10"/>
        <v/>
      </c>
      <c r="V80" s="36">
        <f t="shared" si="7"/>
        <v>4.9000000000000004</v>
      </c>
    </row>
    <row r="81" spans="2:22">
      <c r="B81" s="307"/>
      <c r="C81" s="307"/>
      <c r="D81" s="707"/>
      <c r="E81" s="707"/>
      <c r="F81" s="707"/>
      <c r="G81" s="707"/>
      <c r="H81" s="707"/>
      <c r="I81" s="707"/>
      <c r="J81" s="707"/>
      <c r="K81" s="707"/>
      <c r="L81" s="707"/>
      <c r="M81" s="707"/>
      <c r="N81" s="707"/>
      <c r="O81" s="707"/>
      <c r="P81" s="707"/>
      <c r="Q81" s="707"/>
      <c r="R81" s="707"/>
      <c r="S81" s="288" t="str">
        <f t="shared" si="8"/>
        <v/>
      </c>
      <c r="T81" s="288">
        <f t="shared" si="9"/>
        <v>9.4716494845360821E-2</v>
      </c>
      <c r="U81" s="288" t="str">
        <f t="shared" si="10"/>
        <v/>
      </c>
      <c r="V81" s="36">
        <f t="shared" si="7"/>
        <v>4.9000000000000004</v>
      </c>
    </row>
    <row r="82" spans="2:22">
      <c r="B82" s="307"/>
      <c r="C82" s="307"/>
      <c r="D82" s="707"/>
      <c r="E82" s="707"/>
      <c r="F82" s="707"/>
      <c r="G82" s="707"/>
      <c r="H82" s="707"/>
      <c r="I82" s="707"/>
      <c r="J82" s="707"/>
      <c r="K82" s="707"/>
      <c r="L82" s="707"/>
      <c r="M82" s="707"/>
      <c r="N82" s="707"/>
      <c r="O82" s="707"/>
      <c r="P82" s="707"/>
      <c r="Q82" s="707"/>
      <c r="R82" s="707"/>
      <c r="S82" s="288" t="str">
        <f t="shared" si="8"/>
        <v/>
      </c>
      <c r="T82" s="288">
        <f t="shared" si="9"/>
        <v>9.4716494845360821E-2</v>
      </c>
      <c r="U82" s="288" t="str">
        <f t="shared" si="10"/>
        <v/>
      </c>
      <c r="V82" s="36">
        <f t="shared" si="7"/>
        <v>4.9000000000000004</v>
      </c>
    </row>
    <row r="83" spans="2:22">
      <c r="B83" s="307"/>
      <c r="C83" s="307"/>
      <c r="D83" s="707"/>
      <c r="E83" s="707"/>
      <c r="F83" s="707"/>
      <c r="G83" s="707"/>
      <c r="H83" s="707"/>
      <c r="I83" s="707"/>
      <c r="J83" s="707"/>
      <c r="K83" s="707"/>
      <c r="L83" s="707"/>
      <c r="M83" s="707"/>
      <c r="N83" s="707"/>
      <c r="O83" s="707"/>
      <c r="P83" s="707"/>
      <c r="Q83" s="707"/>
      <c r="R83" s="707"/>
      <c r="S83" s="288" t="str">
        <f t="shared" si="8"/>
        <v/>
      </c>
      <c r="T83" s="288">
        <f t="shared" si="9"/>
        <v>9.4716494845360821E-2</v>
      </c>
      <c r="U83" s="288" t="str">
        <f t="shared" si="10"/>
        <v/>
      </c>
      <c r="V83" s="36">
        <f t="shared" si="7"/>
        <v>4.9000000000000004</v>
      </c>
    </row>
    <row r="84" spans="2:22">
      <c r="B84" s="307"/>
      <c r="C84" s="307"/>
      <c r="D84" s="707"/>
      <c r="E84" s="707"/>
      <c r="F84" s="707"/>
      <c r="G84" s="707"/>
      <c r="H84" s="707"/>
      <c r="I84" s="707"/>
      <c r="J84" s="707"/>
      <c r="K84" s="707"/>
      <c r="L84" s="707"/>
      <c r="M84" s="707"/>
      <c r="N84" s="707"/>
      <c r="O84" s="707"/>
      <c r="P84" s="707"/>
      <c r="Q84" s="707"/>
      <c r="R84" s="707"/>
      <c r="S84" s="288" t="str">
        <f t="shared" si="8"/>
        <v/>
      </c>
      <c r="T84" s="288">
        <f t="shared" si="9"/>
        <v>9.4716494845360821E-2</v>
      </c>
      <c r="U84" s="288" t="str">
        <f t="shared" si="10"/>
        <v/>
      </c>
      <c r="V84" s="36">
        <f t="shared" si="7"/>
        <v>4.9000000000000004</v>
      </c>
    </row>
    <row r="85" spans="2:22">
      <c r="B85" s="307"/>
      <c r="C85" s="307"/>
      <c r="D85" s="707"/>
      <c r="E85" s="707"/>
      <c r="F85" s="707"/>
      <c r="G85" s="707"/>
      <c r="H85" s="707"/>
      <c r="I85" s="707"/>
      <c r="J85" s="707"/>
      <c r="K85" s="707"/>
      <c r="L85" s="707"/>
      <c r="M85" s="707"/>
      <c r="N85" s="707"/>
      <c r="O85" s="707"/>
      <c r="P85" s="707"/>
      <c r="Q85" s="707"/>
      <c r="R85" s="707"/>
      <c r="S85" s="288" t="str">
        <f t="shared" si="8"/>
        <v/>
      </c>
      <c r="T85" s="288">
        <f t="shared" si="9"/>
        <v>9.4716494845360821E-2</v>
      </c>
      <c r="U85" s="288" t="str">
        <f t="shared" si="10"/>
        <v/>
      </c>
      <c r="V85" s="36">
        <f t="shared" si="7"/>
        <v>4.9000000000000004</v>
      </c>
    </row>
    <row r="86" spans="2:22">
      <c r="B86" s="307"/>
      <c r="C86" s="307"/>
      <c r="D86" s="707"/>
      <c r="E86" s="707"/>
      <c r="F86" s="707"/>
      <c r="G86" s="707"/>
      <c r="H86" s="707"/>
      <c r="I86" s="707"/>
      <c r="J86" s="707"/>
      <c r="K86" s="707"/>
      <c r="L86" s="707"/>
      <c r="M86" s="707"/>
      <c r="N86" s="707"/>
      <c r="O86" s="707"/>
      <c r="P86" s="707"/>
      <c r="Q86" s="707"/>
      <c r="R86" s="707"/>
      <c r="S86" s="288" t="str">
        <f t="shared" si="8"/>
        <v/>
      </c>
      <c r="T86" s="288">
        <f t="shared" si="9"/>
        <v>9.4716494845360821E-2</v>
      </c>
      <c r="U86" s="288" t="str">
        <f t="shared" si="10"/>
        <v/>
      </c>
      <c r="V86" s="36">
        <f t="shared" si="7"/>
        <v>4.9000000000000004</v>
      </c>
    </row>
    <row r="87" spans="2:22">
      <c r="B87" s="307"/>
      <c r="C87" s="307"/>
      <c r="D87" s="707"/>
      <c r="E87" s="707"/>
      <c r="F87" s="707"/>
      <c r="G87" s="707"/>
      <c r="H87" s="707"/>
      <c r="I87" s="707"/>
      <c r="J87" s="707"/>
      <c r="K87" s="707"/>
      <c r="L87" s="707"/>
      <c r="M87" s="707"/>
      <c r="N87" s="707"/>
      <c r="O87" s="707"/>
      <c r="P87" s="707"/>
      <c r="Q87" s="707"/>
      <c r="R87" s="707"/>
      <c r="S87" s="288" t="str">
        <f t="shared" si="8"/>
        <v/>
      </c>
      <c r="T87" s="288">
        <f t="shared" si="9"/>
        <v>9.4716494845360821E-2</v>
      </c>
      <c r="U87" s="288" t="str">
        <f t="shared" si="10"/>
        <v/>
      </c>
      <c r="V87" s="36">
        <f t="shared" si="7"/>
        <v>4.9000000000000004</v>
      </c>
    </row>
    <row r="88" spans="2:22">
      <c r="B88" s="307"/>
      <c r="C88" s="307"/>
      <c r="D88" s="707"/>
      <c r="E88" s="707"/>
      <c r="F88" s="707"/>
      <c r="G88" s="707"/>
      <c r="H88" s="707"/>
      <c r="I88" s="707"/>
      <c r="J88" s="707"/>
      <c r="K88" s="707"/>
      <c r="L88" s="707"/>
      <c r="M88" s="707"/>
      <c r="N88" s="707"/>
      <c r="O88" s="707"/>
      <c r="P88" s="707"/>
      <c r="Q88" s="707"/>
      <c r="R88" s="707"/>
      <c r="S88" s="288" t="str">
        <f t="shared" si="8"/>
        <v/>
      </c>
      <c r="T88" s="288">
        <f t="shared" si="9"/>
        <v>9.4716494845360821E-2</v>
      </c>
      <c r="U88" s="288" t="str">
        <f t="shared" si="10"/>
        <v/>
      </c>
      <c r="V88" s="36">
        <f t="shared" si="7"/>
        <v>4.9000000000000004</v>
      </c>
    </row>
    <row r="89" spans="2:22">
      <c r="B89" s="307"/>
      <c r="C89" s="307"/>
      <c r="D89" s="707"/>
      <c r="E89" s="707"/>
      <c r="F89" s="707"/>
      <c r="G89" s="707"/>
      <c r="H89" s="707"/>
      <c r="I89" s="707"/>
      <c r="J89" s="707"/>
      <c r="K89" s="707"/>
      <c r="L89" s="707"/>
      <c r="M89" s="707"/>
      <c r="N89" s="707"/>
      <c r="O89" s="707"/>
      <c r="P89" s="707"/>
      <c r="Q89" s="707"/>
      <c r="R89" s="707"/>
      <c r="S89" s="288" t="str">
        <f t="shared" si="8"/>
        <v/>
      </c>
      <c r="T89" s="288">
        <f t="shared" si="9"/>
        <v>9.4716494845360821E-2</v>
      </c>
      <c r="U89" s="288" t="str">
        <f t="shared" si="10"/>
        <v/>
      </c>
      <c r="V89" s="36">
        <f t="shared" si="7"/>
        <v>4.9000000000000004</v>
      </c>
    </row>
    <row r="90" spans="2:22">
      <c r="B90" s="307"/>
      <c r="C90" s="307"/>
      <c r="D90" s="707"/>
      <c r="E90" s="707"/>
      <c r="F90" s="707"/>
      <c r="G90" s="707"/>
      <c r="H90" s="707"/>
      <c r="I90" s="707"/>
      <c r="J90" s="707"/>
      <c r="K90" s="707"/>
      <c r="L90" s="707"/>
      <c r="M90" s="707"/>
      <c r="N90" s="707"/>
      <c r="O90" s="707"/>
      <c r="P90" s="707"/>
      <c r="Q90" s="707"/>
      <c r="R90" s="707"/>
      <c r="S90" s="288" t="str">
        <f t="shared" si="8"/>
        <v/>
      </c>
      <c r="T90" s="288">
        <f t="shared" si="9"/>
        <v>9.4716494845360821E-2</v>
      </c>
      <c r="U90" s="288" t="str">
        <f t="shared" si="10"/>
        <v/>
      </c>
      <c r="V90" s="36">
        <f t="shared" si="7"/>
        <v>4.9000000000000004</v>
      </c>
    </row>
    <row r="91" spans="2:22">
      <c r="B91" s="307"/>
      <c r="C91" s="307"/>
      <c r="D91" s="707"/>
      <c r="E91" s="707"/>
      <c r="F91" s="707"/>
      <c r="G91" s="707"/>
      <c r="H91" s="707"/>
      <c r="I91" s="707"/>
      <c r="J91" s="707"/>
      <c r="K91" s="707"/>
      <c r="L91" s="707"/>
      <c r="M91" s="707"/>
      <c r="N91" s="707"/>
      <c r="O91" s="707"/>
      <c r="P91" s="707"/>
      <c r="Q91" s="707"/>
      <c r="R91" s="707"/>
      <c r="S91" s="288" t="str">
        <f t="shared" si="8"/>
        <v/>
      </c>
      <c r="T91" s="288">
        <f t="shared" si="9"/>
        <v>9.4716494845360821E-2</v>
      </c>
      <c r="U91" s="288" t="str">
        <f t="shared" si="10"/>
        <v/>
      </c>
      <c r="V91" s="36">
        <f t="shared" si="7"/>
        <v>4.9000000000000004</v>
      </c>
    </row>
    <row r="92" spans="2:22">
      <c r="B92" s="307"/>
      <c r="C92" s="307"/>
      <c r="D92" s="707"/>
      <c r="E92" s="707"/>
      <c r="F92" s="707"/>
      <c r="G92" s="707"/>
      <c r="H92" s="707"/>
      <c r="I92" s="707"/>
      <c r="J92" s="707"/>
      <c r="K92" s="707"/>
      <c r="L92" s="707"/>
      <c r="M92" s="707"/>
      <c r="N92" s="707"/>
      <c r="O92" s="707"/>
      <c r="P92" s="707"/>
      <c r="Q92" s="707"/>
      <c r="R92" s="707"/>
      <c r="S92" s="288" t="str">
        <f t="shared" si="8"/>
        <v/>
      </c>
      <c r="T92" s="288">
        <f t="shared" si="9"/>
        <v>9.4716494845360821E-2</v>
      </c>
      <c r="U92" s="288" t="str">
        <f t="shared" si="10"/>
        <v/>
      </c>
      <c r="V92" s="36">
        <f t="shared" si="7"/>
        <v>4.9000000000000004</v>
      </c>
    </row>
    <row r="93" spans="2:22">
      <c r="B93" s="307"/>
      <c r="C93" s="307"/>
      <c r="D93" s="707"/>
      <c r="E93" s="707"/>
      <c r="F93" s="707"/>
      <c r="G93" s="707"/>
      <c r="H93" s="707"/>
      <c r="I93" s="707"/>
      <c r="J93" s="707"/>
      <c r="K93" s="707"/>
      <c r="L93" s="707"/>
      <c r="M93" s="707"/>
      <c r="N93" s="707"/>
      <c r="O93" s="707"/>
      <c r="P93" s="707"/>
      <c r="Q93" s="707"/>
      <c r="R93" s="707"/>
      <c r="S93" s="288" t="str">
        <f t="shared" si="8"/>
        <v/>
      </c>
      <c r="T93" s="288">
        <f t="shared" si="9"/>
        <v>9.4716494845360821E-2</v>
      </c>
      <c r="U93" s="288" t="str">
        <f t="shared" si="10"/>
        <v/>
      </c>
      <c r="V93" s="36">
        <f t="shared" si="7"/>
        <v>4.9000000000000004</v>
      </c>
    </row>
    <row r="94" spans="2:22">
      <c r="B94" s="307"/>
      <c r="C94" s="307"/>
      <c r="D94" s="707"/>
      <c r="E94" s="707"/>
      <c r="F94" s="707"/>
      <c r="G94" s="707"/>
      <c r="H94" s="707"/>
      <c r="I94" s="707"/>
      <c r="J94" s="707"/>
      <c r="K94" s="707"/>
      <c r="L94" s="707"/>
      <c r="M94" s="707"/>
      <c r="N94" s="707"/>
      <c r="O94" s="707"/>
      <c r="P94" s="707"/>
      <c r="Q94" s="707"/>
      <c r="R94" s="707"/>
      <c r="S94" s="288" t="str">
        <f t="shared" si="8"/>
        <v/>
      </c>
      <c r="T94" s="288">
        <f t="shared" si="9"/>
        <v>9.4716494845360821E-2</v>
      </c>
      <c r="U94" s="288" t="str">
        <f t="shared" si="10"/>
        <v/>
      </c>
      <c r="V94" s="36">
        <f t="shared" si="7"/>
        <v>4.9000000000000004</v>
      </c>
    </row>
    <row r="95" spans="2:22">
      <c r="B95" s="307"/>
      <c r="C95" s="307"/>
      <c r="D95" s="707"/>
      <c r="E95" s="707"/>
      <c r="F95" s="707"/>
      <c r="G95" s="707"/>
      <c r="H95" s="707"/>
      <c r="I95" s="707"/>
      <c r="J95" s="707"/>
      <c r="K95" s="707"/>
      <c r="L95" s="707"/>
      <c r="M95" s="707"/>
      <c r="N95" s="707"/>
      <c r="O95" s="707"/>
      <c r="P95" s="707"/>
      <c r="Q95" s="707"/>
      <c r="R95" s="707"/>
      <c r="S95" s="288" t="str">
        <f t="shared" si="8"/>
        <v/>
      </c>
      <c r="T95" s="288">
        <f t="shared" si="9"/>
        <v>9.4716494845360821E-2</v>
      </c>
      <c r="U95" s="288" t="str">
        <f t="shared" si="10"/>
        <v/>
      </c>
      <c r="V95" s="36">
        <f t="shared" si="7"/>
        <v>4.9000000000000004</v>
      </c>
    </row>
    <row r="96" spans="2:22">
      <c r="B96" s="307"/>
      <c r="C96" s="307"/>
      <c r="D96" s="707"/>
      <c r="E96" s="707"/>
      <c r="F96" s="707"/>
      <c r="G96" s="707"/>
      <c r="H96" s="707"/>
      <c r="I96" s="707"/>
      <c r="J96" s="707"/>
      <c r="K96" s="707"/>
      <c r="L96" s="707"/>
      <c r="M96" s="707"/>
      <c r="N96" s="707"/>
      <c r="O96" s="707"/>
      <c r="P96" s="707"/>
      <c r="Q96" s="707"/>
      <c r="R96" s="707"/>
      <c r="S96" s="288" t="str">
        <f t="shared" si="8"/>
        <v/>
      </c>
      <c r="T96" s="288">
        <f t="shared" si="9"/>
        <v>9.4716494845360821E-2</v>
      </c>
      <c r="U96" s="288" t="str">
        <f t="shared" si="10"/>
        <v/>
      </c>
      <c r="V96" s="36">
        <f t="shared" si="7"/>
        <v>4.9000000000000004</v>
      </c>
    </row>
    <row r="97" spans="2:22">
      <c r="B97" s="307"/>
      <c r="C97" s="307"/>
      <c r="D97" s="707"/>
      <c r="E97" s="707"/>
      <c r="F97" s="707"/>
      <c r="G97" s="707"/>
      <c r="H97" s="707"/>
      <c r="I97" s="707"/>
      <c r="J97" s="707"/>
      <c r="K97" s="707"/>
      <c r="L97" s="707"/>
      <c r="M97" s="707"/>
      <c r="N97" s="707"/>
      <c r="O97" s="707"/>
      <c r="P97" s="707"/>
      <c r="Q97" s="707"/>
      <c r="R97" s="707"/>
      <c r="S97" s="288" t="str">
        <f t="shared" si="8"/>
        <v/>
      </c>
      <c r="T97" s="288">
        <f t="shared" si="9"/>
        <v>9.4716494845360821E-2</v>
      </c>
      <c r="U97" s="288" t="str">
        <f t="shared" si="10"/>
        <v/>
      </c>
      <c r="V97" s="36">
        <f t="shared" si="7"/>
        <v>4.9000000000000004</v>
      </c>
    </row>
    <row r="98" spans="2:22">
      <c r="B98" s="307"/>
      <c r="C98" s="307"/>
      <c r="D98" s="707"/>
      <c r="E98" s="707"/>
      <c r="F98" s="707"/>
      <c r="G98" s="707"/>
      <c r="H98" s="707"/>
      <c r="I98" s="707"/>
      <c r="J98" s="707"/>
      <c r="K98" s="707"/>
      <c r="L98" s="707"/>
      <c r="M98" s="707"/>
      <c r="N98" s="707"/>
      <c r="O98" s="707"/>
      <c r="P98" s="707"/>
      <c r="Q98" s="707"/>
      <c r="R98" s="707"/>
      <c r="S98" s="288" t="str">
        <f t="shared" si="8"/>
        <v/>
      </c>
      <c r="T98" s="288">
        <f t="shared" si="9"/>
        <v>9.4716494845360821E-2</v>
      </c>
      <c r="U98" s="288" t="str">
        <f t="shared" si="10"/>
        <v/>
      </c>
      <c r="V98" s="36">
        <f t="shared" si="7"/>
        <v>4.9000000000000004</v>
      </c>
    </row>
    <row r="99" spans="2:22">
      <c r="B99" s="307"/>
      <c r="C99" s="307"/>
      <c r="D99" s="707"/>
      <c r="E99" s="707"/>
      <c r="F99" s="707"/>
      <c r="G99" s="707"/>
      <c r="H99" s="707"/>
      <c r="I99" s="707"/>
      <c r="J99" s="707"/>
      <c r="K99" s="707"/>
      <c r="L99" s="707"/>
      <c r="M99" s="707"/>
      <c r="N99" s="707"/>
      <c r="O99" s="707"/>
      <c r="P99" s="707"/>
      <c r="Q99" s="707"/>
      <c r="R99" s="707"/>
      <c r="S99" s="288" t="str">
        <f t="shared" si="8"/>
        <v/>
      </c>
      <c r="T99" s="288">
        <f t="shared" si="9"/>
        <v>9.4716494845360821E-2</v>
      </c>
      <c r="U99" s="288" t="str">
        <f t="shared" si="10"/>
        <v/>
      </c>
      <c r="V99" s="36">
        <f t="shared" si="7"/>
        <v>4.9000000000000004</v>
      </c>
    </row>
    <row r="100" spans="2:22">
      <c r="B100" s="307"/>
      <c r="C100" s="307"/>
      <c r="D100" s="707"/>
      <c r="E100" s="707"/>
      <c r="F100" s="707"/>
      <c r="G100" s="707"/>
      <c r="H100" s="707"/>
      <c r="I100" s="707"/>
      <c r="J100" s="707"/>
      <c r="K100" s="707"/>
      <c r="L100" s="707"/>
      <c r="M100" s="707"/>
      <c r="N100" s="707"/>
      <c r="O100" s="707"/>
      <c r="P100" s="707"/>
      <c r="Q100" s="707"/>
      <c r="R100" s="707"/>
      <c r="S100" s="288" t="str">
        <f t="shared" si="8"/>
        <v/>
      </c>
      <c r="T100" s="288">
        <f t="shared" si="9"/>
        <v>9.4716494845360821E-2</v>
      </c>
      <c r="U100" s="288" t="str">
        <f t="shared" si="10"/>
        <v/>
      </c>
      <c r="V100" s="36">
        <f t="shared" si="7"/>
        <v>4.9000000000000004</v>
      </c>
    </row>
    <row r="101" spans="2:22">
      <c r="B101" s="307"/>
      <c r="C101" s="307"/>
      <c r="D101" s="707"/>
      <c r="E101" s="707"/>
      <c r="F101" s="707"/>
      <c r="G101" s="707"/>
      <c r="H101" s="707"/>
      <c r="I101" s="707"/>
      <c r="J101" s="707"/>
      <c r="K101" s="707"/>
      <c r="L101" s="707"/>
      <c r="M101" s="707"/>
      <c r="N101" s="707"/>
      <c r="O101" s="707"/>
      <c r="P101" s="707"/>
      <c r="Q101" s="707"/>
      <c r="R101" s="707"/>
      <c r="S101" s="288" t="str">
        <f t="shared" si="8"/>
        <v/>
      </c>
      <c r="T101" s="288">
        <f t="shared" si="9"/>
        <v>9.4716494845360821E-2</v>
      </c>
      <c r="U101" s="288" t="str">
        <f t="shared" si="10"/>
        <v/>
      </c>
      <c r="V101" s="36">
        <f t="shared" si="7"/>
        <v>4.9000000000000004</v>
      </c>
    </row>
  </sheetData>
  <pageMargins left="0.70866141732283472" right="0.70866141732283472" top="0.74803149606299213" bottom="0.74803149606299213" header="0.31496062992125984" footer="0.31496062992125984"/>
  <pageSetup paperSize="9" scale="31" orientation="landscape" horizontalDpi="4294967293" verticalDpi="0" r:id="rId1"/>
  <customProperties>
    <customPr name="ORB_SHEETNAME" r:id="rId2"/>
  </customProperties>
  <drawing r:id="rId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7">
    <pageSetUpPr fitToPage="1"/>
  </sheetPr>
  <dimension ref="A1:V101"/>
  <sheetViews>
    <sheetView zoomScale="85" zoomScaleNormal="85" workbookViewId="0"/>
  </sheetViews>
  <sheetFormatPr defaultColWidth="8.7109375" defaultRowHeight="15.75"/>
  <cols>
    <col min="1" max="1" width="15.140625" style="215" customWidth="1"/>
    <col min="2" max="3" width="13.28515625" style="213" customWidth="1"/>
    <col min="4" max="15" width="8.7109375" style="213"/>
    <col min="16" max="16" width="31.42578125" style="213" customWidth="1"/>
    <col min="17" max="17" width="11.42578125" style="310" customWidth="1"/>
    <col min="18" max="18" width="9.42578125" style="213" customWidth="1"/>
    <col min="19" max="19" width="9.42578125" style="299" customWidth="1"/>
    <col min="20" max="20" width="9.42578125" style="213" customWidth="1"/>
    <col min="21" max="16384" width="8.7109375" style="213"/>
  </cols>
  <sheetData>
    <row r="1" spans="1:22" s="132" customFormat="1" ht="47.25">
      <c r="A1" s="308" t="s">
        <v>752</v>
      </c>
      <c r="B1" s="308" t="s">
        <v>791</v>
      </c>
      <c r="C1" s="308" t="s">
        <v>774</v>
      </c>
      <c r="Q1" s="309" t="s">
        <v>777</v>
      </c>
      <c r="R1" s="301" t="s">
        <v>755</v>
      </c>
      <c r="S1" s="301" t="s">
        <v>789</v>
      </c>
      <c r="T1" s="301" t="s">
        <v>761</v>
      </c>
    </row>
    <row r="2" spans="1:22">
      <c r="A2" s="215">
        <v>1</v>
      </c>
      <c r="B2" s="235">
        <v>4</v>
      </c>
      <c r="C2" s="235">
        <v>50</v>
      </c>
      <c r="Q2" s="310">
        <f>B2/C2</f>
        <v>0.08</v>
      </c>
      <c r="R2" s="303">
        <f>S2-3*SQRT(S2/C2)</f>
        <v>-4.4637100694603804E-2</v>
      </c>
      <c r="S2" s="303">
        <f>AVERAGE(Q2:Q21)</f>
        <v>5.3445094240642255E-2</v>
      </c>
      <c r="T2" s="303">
        <f>S2+3*SQRT(S2/C2)</f>
        <v>0.15152728917588831</v>
      </c>
    </row>
    <row r="3" spans="1:22">
      <c r="A3" s="215">
        <v>2</v>
      </c>
      <c r="B3" s="235">
        <v>1</v>
      </c>
      <c r="C3" s="235">
        <v>50</v>
      </c>
      <c r="Q3" s="310">
        <f t="shared" ref="Q3:Q66" si="0">B3/C3</f>
        <v>0.02</v>
      </c>
      <c r="R3" s="299">
        <f t="shared" ref="R3:R35" si="1">S3-3*SQRT(S3/C3)</f>
        <v>-4.4637100694603804E-2</v>
      </c>
      <c r="S3" s="299">
        <f t="shared" ref="S3:S35" si="2">S2</f>
        <v>5.3445094240642255E-2</v>
      </c>
      <c r="T3" s="299">
        <f t="shared" ref="T3:T35" si="3">S3+3*SQRT(S3/C3)</f>
        <v>0.15152728917588831</v>
      </c>
    </row>
    <row r="4" spans="1:22">
      <c r="A4" s="215">
        <v>3</v>
      </c>
      <c r="B4" s="235">
        <v>3</v>
      </c>
      <c r="C4" s="235">
        <v>50</v>
      </c>
      <c r="Q4" s="310">
        <f t="shared" si="0"/>
        <v>0.06</v>
      </c>
      <c r="R4" s="299">
        <f t="shared" si="1"/>
        <v>-4.4637100694603804E-2</v>
      </c>
      <c r="S4" s="299">
        <f t="shared" si="2"/>
        <v>5.3445094240642255E-2</v>
      </c>
      <c r="T4" s="299">
        <f t="shared" si="3"/>
        <v>0.15152728917588831</v>
      </c>
    </row>
    <row r="5" spans="1:22">
      <c r="A5" s="215">
        <v>4</v>
      </c>
      <c r="B5" s="235">
        <v>1</v>
      </c>
      <c r="C5" s="235">
        <v>48</v>
      </c>
      <c r="P5" s="236"/>
      <c r="Q5" s="310">
        <f t="shared" si="0"/>
        <v>2.0833333333333332E-2</v>
      </c>
      <c r="R5" s="299">
        <f t="shared" si="1"/>
        <v>-4.6659626777501656E-2</v>
      </c>
      <c r="S5" s="299">
        <f t="shared" si="2"/>
        <v>5.3445094240642255E-2</v>
      </c>
      <c r="T5" s="299">
        <f t="shared" si="3"/>
        <v>0.15354981525878617</v>
      </c>
      <c r="U5" s="236"/>
    </row>
    <row r="6" spans="1:22">
      <c r="A6" s="215">
        <v>5</v>
      </c>
      <c r="B6" s="235">
        <v>2</v>
      </c>
      <c r="C6" s="235">
        <v>49</v>
      </c>
      <c r="P6" s="236"/>
      <c r="Q6" s="310">
        <f t="shared" si="0"/>
        <v>4.0816326530612242E-2</v>
      </c>
      <c r="R6" s="299">
        <f t="shared" si="1"/>
        <v>-4.5632884548462496E-2</v>
      </c>
      <c r="S6" s="299">
        <f t="shared" si="2"/>
        <v>5.3445094240642255E-2</v>
      </c>
      <c r="T6" s="299">
        <f t="shared" si="3"/>
        <v>0.15252307302974699</v>
      </c>
      <c r="U6" s="236"/>
    </row>
    <row r="7" spans="1:22">
      <c r="A7" s="215">
        <v>6</v>
      </c>
      <c r="B7" s="235">
        <v>6</v>
      </c>
      <c r="C7" s="235">
        <v>50</v>
      </c>
      <c r="Q7" s="310">
        <f t="shared" si="0"/>
        <v>0.12</v>
      </c>
      <c r="R7" s="299">
        <f t="shared" si="1"/>
        <v>-4.4637100694603804E-2</v>
      </c>
      <c r="S7" s="299">
        <f t="shared" si="2"/>
        <v>5.3445094240642255E-2</v>
      </c>
      <c r="T7" s="299">
        <f t="shared" si="3"/>
        <v>0.15152728917588831</v>
      </c>
    </row>
    <row r="8" spans="1:22">
      <c r="A8" s="215">
        <v>7</v>
      </c>
      <c r="B8" s="235">
        <v>3</v>
      </c>
      <c r="C8" s="235">
        <v>50</v>
      </c>
      <c r="Q8" s="310">
        <f t="shared" si="0"/>
        <v>0.06</v>
      </c>
      <c r="R8" s="299">
        <f t="shared" si="1"/>
        <v>-4.4637100694603804E-2</v>
      </c>
      <c r="S8" s="299">
        <f t="shared" si="2"/>
        <v>5.3445094240642255E-2</v>
      </c>
      <c r="T8" s="299">
        <f t="shared" si="3"/>
        <v>0.15152728917588831</v>
      </c>
    </row>
    <row r="9" spans="1:22">
      <c r="A9" s="215">
        <v>8</v>
      </c>
      <c r="B9" s="235">
        <v>2</v>
      </c>
      <c r="C9" s="235">
        <v>47</v>
      </c>
      <c r="Q9" s="310">
        <f t="shared" si="0"/>
        <v>4.2553191489361701E-2</v>
      </c>
      <c r="R9" s="299">
        <f t="shared" si="1"/>
        <v>-4.7718965495267135E-2</v>
      </c>
      <c r="S9" s="299">
        <f t="shared" si="2"/>
        <v>5.3445094240642255E-2</v>
      </c>
      <c r="T9" s="299">
        <f t="shared" si="3"/>
        <v>0.15460915397655164</v>
      </c>
    </row>
    <row r="10" spans="1:22">
      <c r="A10" s="215">
        <v>9</v>
      </c>
      <c r="B10" s="235">
        <v>1</v>
      </c>
      <c r="C10" s="235">
        <v>49</v>
      </c>
      <c r="Q10" s="310">
        <f t="shared" si="0"/>
        <v>2.0408163265306121E-2</v>
      </c>
      <c r="R10" s="299">
        <f t="shared" si="1"/>
        <v>-4.5632884548462496E-2</v>
      </c>
      <c r="S10" s="299">
        <f t="shared" si="2"/>
        <v>5.3445094240642255E-2</v>
      </c>
      <c r="T10" s="299">
        <f t="shared" si="3"/>
        <v>0.15252307302974699</v>
      </c>
    </row>
    <row r="11" spans="1:22">
      <c r="A11" s="215">
        <v>10</v>
      </c>
      <c r="B11" s="235">
        <v>1</v>
      </c>
      <c r="C11" s="235">
        <v>51</v>
      </c>
      <c r="E11" s="1008"/>
      <c r="Q11" s="310">
        <f t="shared" si="0"/>
        <v>1.9607843137254902E-2</v>
      </c>
      <c r="R11" s="299">
        <f t="shared" si="1"/>
        <v>-4.3670750084250837E-2</v>
      </c>
      <c r="S11" s="299">
        <f t="shared" si="2"/>
        <v>5.3445094240642255E-2</v>
      </c>
      <c r="T11" s="299">
        <f t="shared" si="3"/>
        <v>0.15056093856553535</v>
      </c>
    </row>
    <row r="12" spans="1:22">
      <c r="A12" s="215">
        <v>11</v>
      </c>
      <c r="B12" s="235">
        <v>2</v>
      </c>
      <c r="C12" s="235">
        <v>52</v>
      </c>
      <c r="Q12" s="310">
        <f t="shared" si="0"/>
        <v>3.8461538461538464E-2</v>
      </c>
      <c r="R12" s="299">
        <f t="shared" si="1"/>
        <v>-4.2732410742209848E-2</v>
      </c>
      <c r="S12" s="299">
        <f t="shared" si="2"/>
        <v>5.3445094240642255E-2</v>
      </c>
      <c r="T12" s="299">
        <f t="shared" si="3"/>
        <v>0.14962259922349436</v>
      </c>
    </row>
    <row r="13" spans="1:22">
      <c r="A13" s="215">
        <v>12</v>
      </c>
      <c r="B13" s="235">
        <v>3</v>
      </c>
      <c r="C13" s="235">
        <v>51</v>
      </c>
      <c r="Q13" s="310">
        <f t="shared" si="0"/>
        <v>5.8823529411764705E-2</v>
      </c>
      <c r="R13" s="299">
        <f t="shared" si="1"/>
        <v>-4.3670750084250837E-2</v>
      </c>
      <c r="S13" s="299">
        <f t="shared" si="2"/>
        <v>5.3445094240642255E-2</v>
      </c>
      <c r="T13" s="299">
        <f t="shared" si="3"/>
        <v>0.15056093856553535</v>
      </c>
      <c r="V13" s="213" t="s">
        <v>792</v>
      </c>
    </row>
    <row r="14" spans="1:22">
      <c r="A14" s="215">
        <v>13</v>
      </c>
      <c r="B14" s="235">
        <v>4</v>
      </c>
      <c r="C14" s="235">
        <v>49</v>
      </c>
      <c r="Q14" s="310">
        <f t="shared" si="0"/>
        <v>8.1632653061224483E-2</v>
      </c>
      <c r="R14" s="299">
        <f t="shared" si="1"/>
        <v>-4.5632884548462496E-2</v>
      </c>
      <c r="S14" s="299">
        <f t="shared" si="2"/>
        <v>5.3445094240642255E-2</v>
      </c>
      <c r="T14" s="299">
        <f t="shared" si="3"/>
        <v>0.15252307302974699</v>
      </c>
    </row>
    <row r="15" spans="1:22">
      <c r="A15" s="215">
        <v>14</v>
      </c>
      <c r="B15" s="235">
        <v>3</v>
      </c>
      <c r="C15" s="235">
        <v>49</v>
      </c>
      <c r="Q15" s="310">
        <f t="shared" si="0"/>
        <v>6.1224489795918366E-2</v>
      </c>
      <c r="R15" s="299">
        <f t="shared" si="1"/>
        <v>-4.5632884548462496E-2</v>
      </c>
      <c r="S15" s="299">
        <f t="shared" si="2"/>
        <v>5.3445094240642255E-2</v>
      </c>
      <c r="T15" s="299">
        <f t="shared" si="3"/>
        <v>0.15252307302974699</v>
      </c>
    </row>
    <row r="16" spans="1:22">
      <c r="A16" s="215">
        <v>15</v>
      </c>
      <c r="B16" s="235">
        <v>3</v>
      </c>
      <c r="C16" s="235">
        <v>49</v>
      </c>
      <c r="Q16" s="310">
        <f t="shared" si="0"/>
        <v>6.1224489795918366E-2</v>
      </c>
      <c r="R16" s="299">
        <f t="shared" si="1"/>
        <v>-4.5632884548462496E-2</v>
      </c>
      <c r="S16" s="299">
        <f t="shared" si="2"/>
        <v>5.3445094240642255E-2</v>
      </c>
      <c r="T16" s="299">
        <f t="shared" si="3"/>
        <v>0.15252307302974699</v>
      </c>
    </row>
    <row r="17" spans="1:20">
      <c r="A17" s="215">
        <v>16</v>
      </c>
      <c r="B17" s="235">
        <v>2</v>
      </c>
      <c r="C17" s="235">
        <v>50</v>
      </c>
      <c r="Q17" s="310">
        <f t="shared" si="0"/>
        <v>0.04</v>
      </c>
      <c r="R17" s="299">
        <f t="shared" si="1"/>
        <v>-4.4637100694603804E-2</v>
      </c>
      <c r="S17" s="299">
        <f t="shared" si="2"/>
        <v>5.3445094240642255E-2</v>
      </c>
      <c r="T17" s="299">
        <f t="shared" si="3"/>
        <v>0.15152728917588831</v>
      </c>
    </row>
    <row r="18" spans="1:20">
      <c r="A18" s="215">
        <v>17</v>
      </c>
      <c r="B18" s="235">
        <v>3</v>
      </c>
      <c r="C18" s="235">
        <v>50</v>
      </c>
      <c r="Q18" s="310">
        <f t="shared" si="0"/>
        <v>0.06</v>
      </c>
      <c r="R18" s="299">
        <f t="shared" si="1"/>
        <v>-4.4637100694603804E-2</v>
      </c>
      <c r="S18" s="299">
        <f t="shared" si="2"/>
        <v>5.3445094240642255E-2</v>
      </c>
      <c r="T18" s="299">
        <f t="shared" si="3"/>
        <v>0.15152728917588831</v>
      </c>
    </row>
    <row r="19" spans="1:20">
      <c r="A19" s="215">
        <v>18</v>
      </c>
      <c r="B19" s="235">
        <v>4</v>
      </c>
      <c r="C19" s="235">
        <v>50</v>
      </c>
      <c r="Q19" s="310">
        <f t="shared" si="0"/>
        <v>0.08</v>
      </c>
      <c r="R19" s="299">
        <f t="shared" si="1"/>
        <v>-4.4637100694603804E-2</v>
      </c>
      <c r="S19" s="299">
        <f t="shared" si="2"/>
        <v>5.3445094240642255E-2</v>
      </c>
      <c r="T19" s="299">
        <f t="shared" si="3"/>
        <v>0.15152728917588831</v>
      </c>
    </row>
    <row r="20" spans="1:20">
      <c r="A20" s="215">
        <v>19</v>
      </c>
      <c r="B20" s="235">
        <v>3</v>
      </c>
      <c r="C20" s="235">
        <v>48</v>
      </c>
      <c r="Q20" s="310">
        <f t="shared" si="0"/>
        <v>6.25E-2</v>
      </c>
      <c r="R20" s="299">
        <f t="shared" si="1"/>
        <v>-4.6659626777501656E-2</v>
      </c>
      <c r="S20" s="299">
        <f t="shared" si="2"/>
        <v>5.3445094240642255E-2</v>
      </c>
      <c r="T20" s="299">
        <f t="shared" si="3"/>
        <v>0.15354981525878617</v>
      </c>
    </row>
    <row r="21" spans="1:20">
      <c r="A21" s="215">
        <v>20</v>
      </c>
      <c r="B21" s="235">
        <v>2</v>
      </c>
      <c r="C21" s="235">
        <v>49</v>
      </c>
      <c r="Q21" s="310">
        <f t="shared" si="0"/>
        <v>4.0816326530612242E-2</v>
      </c>
      <c r="R21" s="299">
        <f t="shared" si="1"/>
        <v>-4.5632884548462496E-2</v>
      </c>
      <c r="S21" s="299">
        <f t="shared" si="2"/>
        <v>5.3445094240642255E-2</v>
      </c>
      <c r="T21" s="299">
        <f t="shared" si="3"/>
        <v>0.15252307302974699</v>
      </c>
    </row>
    <row r="22" spans="1:20">
      <c r="A22" s="215">
        <v>21</v>
      </c>
      <c r="B22" s="235"/>
      <c r="C22" s="235"/>
      <c r="Q22" s="310" t="e">
        <f t="shared" si="0"/>
        <v>#DIV/0!</v>
      </c>
      <c r="R22" s="299" t="e">
        <f t="shared" si="1"/>
        <v>#DIV/0!</v>
      </c>
      <c r="S22" s="299">
        <f t="shared" si="2"/>
        <v>5.3445094240642255E-2</v>
      </c>
      <c r="T22" s="299" t="e">
        <f t="shared" si="3"/>
        <v>#DIV/0!</v>
      </c>
    </row>
    <row r="23" spans="1:20">
      <c r="A23" s="215">
        <v>22</v>
      </c>
      <c r="B23" s="235"/>
      <c r="C23" s="235"/>
      <c r="Q23" s="310" t="e">
        <f t="shared" si="0"/>
        <v>#DIV/0!</v>
      </c>
      <c r="R23" s="299" t="e">
        <f t="shared" si="1"/>
        <v>#DIV/0!</v>
      </c>
      <c r="S23" s="299">
        <f t="shared" si="2"/>
        <v>5.3445094240642255E-2</v>
      </c>
      <c r="T23" s="299" t="e">
        <f t="shared" si="3"/>
        <v>#DIV/0!</v>
      </c>
    </row>
    <row r="24" spans="1:20">
      <c r="A24" s="215">
        <v>23</v>
      </c>
      <c r="B24" s="235"/>
      <c r="C24" s="235"/>
      <c r="Q24" s="310" t="e">
        <f t="shared" si="0"/>
        <v>#DIV/0!</v>
      </c>
      <c r="R24" s="299" t="e">
        <f t="shared" si="1"/>
        <v>#DIV/0!</v>
      </c>
      <c r="S24" s="299">
        <f t="shared" si="2"/>
        <v>5.3445094240642255E-2</v>
      </c>
      <c r="T24" s="299" t="e">
        <f t="shared" si="3"/>
        <v>#DIV/0!</v>
      </c>
    </row>
    <row r="25" spans="1:20">
      <c r="A25" s="215">
        <v>24</v>
      </c>
      <c r="B25" s="235"/>
      <c r="C25" s="235"/>
      <c r="Q25" s="310" t="e">
        <f t="shared" si="0"/>
        <v>#DIV/0!</v>
      </c>
      <c r="R25" s="299" t="e">
        <f t="shared" si="1"/>
        <v>#DIV/0!</v>
      </c>
      <c r="S25" s="299">
        <f t="shared" si="2"/>
        <v>5.3445094240642255E-2</v>
      </c>
      <c r="T25" s="299" t="e">
        <f t="shared" si="3"/>
        <v>#DIV/0!</v>
      </c>
    </row>
    <row r="26" spans="1:20">
      <c r="A26" s="215">
        <v>25</v>
      </c>
      <c r="B26" s="235"/>
      <c r="C26" s="235"/>
      <c r="Q26" s="310" t="e">
        <f t="shared" si="0"/>
        <v>#DIV/0!</v>
      </c>
      <c r="R26" s="299" t="e">
        <f t="shared" si="1"/>
        <v>#DIV/0!</v>
      </c>
      <c r="S26" s="299">
        <f t="shared" si="2"/>
        <v>5.3445094240642255E-2</v>
      </c>
      <c r="T26" s="299" t="e">
        <f t="shared" si="3"/>
        <v>#DIV/0!</v>
      </c>
    </row>
    <row r="27" spans="1:20">
      <c r="A27" s="215">
        <v>26</v>
      </c>
      <c r="B27" s="235"/>
      <c r="C27" s="235"/>
      <c r="Q27" s="310" t="e">
        <f t="shared" si="0"/>
        <v>#DIV/0!</v>
      </c>
      <c r="R27" s="299" t="e">
        <f t="shared" si="1"/>
        <v>#DIV/0!</v>
      </c>
      <c r="S27" s="299">
        <f t="shared" si="2"/>
        <v>5.3445094240642255E-2</v>
      </c>
      <c r="T27" s="299" t="e">
        <f t="shared" si="3"/>
        <v>#DIV/0!</v>
      </c>
    </row>
    <row r="28" spans="1:20">
      <c r="A28" s="215">
        <v>27</v>
      </c>
      <c r="B28" s="235"/>
      <c r="C28" s="235"/>
      <c r="Q28" s="310" t="e">
        <f t="shared" si="0"/>
        <v>#DIV/0!</v>
      </c>
      <c r="R28" s="299" t="e">
        <f t="shared" si="1"/>
        <v>#DIV/0!</v>
      </c>
      <c r="S28" s="299">
        <f t="shared" si="2"/>
        <v>5.3445094240642255E-2</v>
      </c>
      <c r="T28" s="299" t="e">
        <f t="shared" si="3"/>
        <v>#DIV/0!</v>
      </c>
    </row>
    <row r="29" spans="1:20">
      <c r="A29" s="215">
        <v>28</v>
      </c>
      <c r="B29" s="235"/>
      <c r="C29" s="235"/>
      <c r="Q29" s="310" t="e">
        <f t="shared" si="0"/>
        <v>#DIV/0!</v>
      </c>
      <c r="R29" s="299" t="e">
        <f t="shared" si="1"/>
        <v>#DIV/0!</v>
      </c>
      <c r="S29" s="299">
        <f t="shared" si="2"/>
        <v>5.3445094240642255E-2</v>
      </c>
      <c r="T29" s="299" t="e">
        <f t="shared" si="3"/>
        <v>#DIV/0!</v>
      </c>
    </row>
    <row r="30" spans="1:20">
      <c r="A30" s="215">
        <v>29</v>
      </c>
      <c r="B30" s="235"/>
      <c r="C30" s="235"/>
      <c r="Q30" s="310" t="e">
        <f t="shared" si="0"/>
        <v>#DIV/0!</v>
      </c>
      <c r="R30" s="299" t="e">
        <f t="shared" si="1"/>
        <v>#DIV/0!</v>
      </c>
      <c r="S30" s="299">
        <f t="shared" si="2"/>
        <v>5.3445094240642255E-2</v>
      </c>
      <c r="T30" s="299" t="e">
        <f t="shared" si="3"/>
        <v>#DIV/0!</v>
      </c>
    </row>
    <row r="31" spans="1:20">
      <c r="A31" s="215">
        <v>30</v>
      </c>
      <c r="B31" s="235"/>
      <c r="C31" s="235"/>
      <c r="Q31" s="310" t="e">
        <f t="shared" si="0"/>
        <v>#DIV/0!</v>
      </c>
      <c r="R31" s="299" t="e">
        <f t="shared" si="1"/>
        <v>#DIV/0!</v>
      </c>
      <c r="S31" s="299">
        <f t="shared" si="2"/>
        <v>5.3445094240642255E-2</v>
      </c>
      <c r="T31" s="299" t="e">
        <f t="shared" si="3"/>
        <v>#DIV/0!</v>
      </c>
    </row>
    <row r="32" spans="1:20">
      <c r="A32" s="215">
        <v>31</v>
      </c>
      <c r="B32" s="235"/>
      <c r="C32" s="235"/>
      <c r="Q32" s="310" t="e">
        <f t="shared" si="0"/>
        <v>#DIV/0!</v>
      </c>
      <c r="R32" s="299" t="e">
        <f t="shared" si="1"/>
        <v>#DIV/0!</v>
      </c>
      <c r="S32" s="299">
        <f t="shared" si="2"/>
        <v>5.3445094240642255E-2</v>
      </c>
      <c r="T32" s="299" t="e">
        <f t="shared" si="3"/>
        <v>#DIV/0!</v>
      </c>
    </row>
    <row r="33" spans="1:20">
      <c r="A33" s="215">
        <v>32</v>
      </c>
      <c r="B33" s="235"/>
      <c r="C33" s="235"/>
      <c r="Q33" s="310" t="e">
        <f t="shared" si="0"/>
        <v>#DIV/0!</v>
      </c>
      <c r="R33" s="299" t="e">
        <f t="shared" si="1"/>
        <v>#DIV/0!</v>
      </c>
      <c r="S33" s="299">
        <f t="shared" si="2"/>
        <v>5.3445094240642255E-2</v>
      </c>
      <c r="T33" s="299" t="e">
        <f t="shared" si="3"/>
        <v>#DIV/0!</v>
      </c>
    </row>
    <row r="34" spans="1:20">
      <c r="A34" s="215">
        <v>33</v>
      </c>
      <c r="B34" s="235"/>
      <c r="C34" s="235"/>
      <c r="Q34" s="310" t="e">
        <f t="shared" si="0"/>
        <v>#DIV/0!</v>
      </c>
      <c r="R34" s="299" t="e">
        <f t="shared" si="1"/>
        <v>#DIV/0!</v>
      </c>
      <c r="S34" s="299">
        <f t="shared" si="2"/>
        <v>5.3445094240642255E-2</v>
      </c>
      <c r="T34" s="299" t="e">
        <f t="shared" si="3"/>
        <v>#DIV/0!</v>
      </c>
    </row>
    <row r="35" spans="1:20">
      <c r="A35" s="215">
        <v>34</v>
      </c>
      <c r="B35" s="235"/>
      <c r="C35" s="235"/>
      <c r="Q35" s="310" t="e">
        <f t="shared" si="0"/>
        <v>#DIV/0!</v>
      </c>
      <c r="R35" s="299" t="e">
        <f t="shared" si="1"/>
        <v>#DIV/0!</v>
      </c>
      <c r="S35" s="299">
        <f t="shared" si="2"/>
        <v>5.3445094240642255E-2</v>
      </c>
      <c r="T35" s="299" t="e">
        <f t="shared" si="3"/>
        <v>#DIV/0!</v>
      </c>
    </row>
    <row r="36" spans="1:20">
      <c r="A36" s="215">
        <v>35</v>
      </c>
      <c r="B36" s="235"/>
      <c r="C36" s="235"/>
      <c r="Q36" s="311" t="e">
        <f t="shared" si="0"/>
        <v>#DIV/0!</v>
      </c>
      <c r="R36" s="312" t="e">
        <f>S36-3*SQRT(S36/C36)</f>
        <v>#DIV/0!</v>
      </c>
      <c r="S36" s="312" t="e">
        <f>AVERAGE(Q36:Q55)</f>
        <v>#DIV/0!</v>
      </c>
      <c r="T36" s="312" t="e">
        <f>S36+3*SQRT(S36/C36)</f>
        <v>#DIV/0!</v>
      </c>
    </row>
    <row r="37" spans="1:20">
      <c r="A37" s="215">
        <v>36</v>
      </c>
      <c r="B37" s="235"/>
      <c r="C37" s="235"/>
      <c r="Q37" s="310" t="e">
        <f t="shared" si="0"/>
        <v>#DIV/0!</v>
      </c>
      <c r="R37" s="299" t="e">
        <f t="shared" ref="R37:R70" si="4">S37-3*SQRT(S37/C37)</f>
        <v>#DIV/0!</v>
      </c>
      <c r="S37" s="299" t="e">
        <f t="shared" ref="S37:S100" si="5">S36</f>
        <v>#DIV/0!</v>
      </c>
      <c r="T37" s="299" t="e">
        <f t="shared" ref="T37:T70" si="6">S37+3*SQRT(S37/C37)</f>
        <v>#DIV/0!</v>
      </c>
    </row>
    <row r="38" spans="1:20">
      <c r="A38" s="215">
        <v>37</v>
      </c>
      <c r="B38" s="235"/>
      <c r="C38" s="235"/>
      <c r="Q38" s="310" t="e">
        <f t="shared" si="0"/>
        <v>#DIV/0!</v>
      </c>
      <c r="R38" s="299" t="e">
        <f t="shared" si="4"/>
        <v>#DIV/0!</v>
      </c>
      <c r="S38" s="299" t="e">
        <f t="shared" si="5"/>
        <v>#DIV/0!</v>
      </c>
      <c r="T38" s="299" t="e">
        <f t="shared" si="6"/>
        <v>#DIV/0!</v>
      </c>
    </row>
    <row r="39" spans="1:20">
      <c r="A39" s="215">
        <v>38</v>
      </c>
      <c r="B39" s="235"/>
      <c r="C39" s="235"/>
      <c r="Q39" s="310" t="e">
        <f t="shared" si="0"/>
        <v>#DIV/0!</v>
      </c>
      <c r="R39" s="299" t="e">
        <f t="shared" si="4"/>
        <v>#DIV/0!</v>
      </c>
      <c r="S39" s="299" t="e">
        <f t="shared" si="5"/>
        <v>#DIV/0!</v>
      </c>
      <c r="T39" s="299" t="e">
        <f t="shared" si="6"/>
        <v>#DIV/0!</v>
      </c>
    </row>
    <row r="40" spans="1:20">
      <c r="A40" s="215">
        <v>39</v>
      </c>
      <c r="B40" s="235"/>
      <c r="C40" s="235"/>
      <c r="Q40" s="310" t="e">
        <f t="shared" si="0"/>
        <v>#DIV/0!</v>
      </c>
      <c r="R40" s="299" t="e">
        <f t="shared" si="4"/>
        <v>#DIV/0!</v>
      </c>
      <c r="S40" s="299" t="e">
        <f t="shared" si="5"/>
        <v>#DIV/0!</v>
      </c>
      <c r="T40" s="299" t="e">
        <f t="shared" si="6"/>
        <v>#DIV/0!</v>
      </c>
    </row>
    <row r="41" spans="1:20">
      <c r="A41" s="215">
        <v>40</v>
      </c>
      <c r="B41" s="235"/>
      <c r="C41" s="235"/>
      <c r="Q41" s="310" t="e">
        <f t="shared" si="0"/>
        <v>#DIV/0!</v>
      </c>
      <c r="R41" s="299" t="e">
        <f t="shared" si="4"/>
        <v>#DIV/0!</v>
      </c>
      <c r="S41" s="299" t="e">
        <f t="shared" si="5"/>
        <v>#DIV/0!</v>
      </c>
      <c r="T41" s="299" t="e">
        <f t="shared" si="6"/>
        <v>#DIV/0!</v>
      </c>
    </row>
    <row r="42" spans="1:20">
      <c r="A42" s="215">
        <v>41</v>
      </c>
      <c r="B42" s="235"/>
      <c r="C42" s="235"/>
      <c r="Q42" s="310" t="e">
        <f t="shared" si="0"/>
        <v>#DIV/0!</v>
      </c>
      <c r="R42" s="299" t="e">
        <f t="shared" si="4"/>
        <v>#DIV/0!</v>
      </c>
      <c r="S42" s="299" t="e">
        <f t="shared" si="5"/>
        <v>#DIV/0!</v>
      </c>
      <c r="T42" s="299" t="e">
        <f t="shared" si="6"/>
        <v>#DIV/0!</v>
      </c>
    </row>
    <row r="43" spans="1:20">
      <c r="A43" s="215">
        <v>42</v>
      </c>
      <c r="B43" s="235"/>
      <c r="C43" s="235"/>
      <c r="Q43" s="310" t="e">
        <f t="shared" si="0"/>
        <v>#DIV/0!</v>
      </c>
      <c r="R43" s="299" t="e">
        <f t="shared" si="4"/>
        <v>#DIV/0!</v>
      </c>
      <c r="S43" s="299" t="e">
        <f t="shared" si="5"/>
        <v>#DIV/0!</v>
      </c>
      <c r="T43" s="299" t="e">
        <f t="shared" si="6"/>
        <v>#DIV/0!</v>
      </c>
    </row>
    <row r="44" spans="1:20">
      <c r="A44" s="215">
        <v>43</v>
      </c>
      <c r="B44" s="235"/>
      <c r="C44" s="235"/>
      <c r="Q44" s="310" t="e">
        <f t="shared" si="0"/>
        <v>#DIV/0!</v>
      </c>
      <c r="R44" s="299" t="e">
        <f t="shared" si="4"/>
        <v>#DIV/0!</v>
      </c>
      <c r="S44" s="299" t="e">
        <f t="shared" si="5"/>
        <v>#DIV/0!</v>
      </c>
      <c r="T44" s="299" t="e">
        <f t="shared" si="6"/>
        <v>#DIV/0!</v>
      </c>
    </row>
    <row r="45" spans="1:20">
      <c r="A45" s="215">
        <v>44</v>
      </c>
      <c r="B45" s="235"/>
      <c r="C45" s="235"/>
      <c r="Q45" s="310" t="e">
        <f t="shared" si="0"/>
        <v>#DIV/0!</v>
      </c>
      <c r="R45" s="299" t="e">
        <f t="shared" si="4"/>
        <v>#DIV/0!</v>
      </c>
      <c r="S45" s="299" t="e">
        <f t="shared" si="5"/>
        <v>#DIV/0!</v>
      </c>
      <c r="T45" s="299" t="e">
        <f t="shared" si="6"/>
        <v>#DIV/0!</v>
      </c>
    </row>
    <row r="46" spans="1:20">
      <c r="A46" s="215">
        <v>45</v>
      </c>
      <c r="B46" s="235"/>
      <c r="C46" s="235"/>
      <c r="Q46" s="310" t="e">
        <f t="shared" si="0"/>
        <v>#DIV/0!</v>
      </c>
      <c r="R46" s="299" t="e">
        <f t="shared" si="4"/>
        <v>#DIV/0!</v>
      </c>
      <c r="S46" s="299" t="e">
        <f t="shared" si="5"/>
        <v>#DIV/0!</v>
      </c>
      <c r="T46" s="299" t="e">
        <f t="shared" si="6"/>
        <v>#DIV/0!</v>
      </c>
    </row>
    <row r="47" spans="1:20">
      <c r="A47" s="215">
        <v>46</v>
      </c>
      <c r="B47" s="235"/>
      <c r="C47" s="235"/>
      <c r="Q47" s="310" t="e">
        <f t="shared" si="0"/>
        <v>#DIV/0!</v>
      </c>
      <c r="R47" s="299" t="e">
        <f t="shared" si="4"/>
        <v>#DIV/0!</v>
      </c>
      <c r="S47" s="299" t="e">
        <f t="shared" si="5"/>
        <v>#DIV/0!</v>
      </c>
      <c r="T47" s="299" t="e">
        <f t="shared" si="6"/>
        <v>#DIV/0!</v>
      </c>
    </row>
    <row r="48" spans="1:20">
      <c r="A48" s="215">
        <v>47</v>
      </c>
      <c r="B48" s="235"/>
      <c r="C48" s="235"/>
      <c r="Q48" s="310" t="e">
        <f t="shared" si="0"/>
        <v>#DIV/0!</v>
      </c>
      <c r="R48" s="299" t="e">
        <f t="shared" si="4"/>
        <v>#DIV/0!</v>
      </c>
      <c r="S48" s="299" t="e">
        <f t="shared" si="5"/>
        <v>#DIV/0!</v>
      </c>
      <c r="T48" s="299" t="e">
        <f t="shared" si="6"/>
        <v>#DIV/0!</v>
      </c>
    </row>
    <row r="49" spans="1:20">
      <c r="A49" s="215">
        <v>48</v>
      </c>
      <c r="B49" s="235"/>
      <c r="C49" s="235"/>
      <c r="Q49" s="310" t="e">
        <f t="shared" si="0"/>
        <v>#DIV/0!</v>
      </c>
      <c r="R49" s="299" t="e">
        <f t="shared" si="4"/>
        <v>#DIV/0!</v>
      </c>
      <c r="S49" s="299" t="e">
        <f t="shared" si="5"/>
        <v>#DIV/0!</v>
      </c>
      <c r="T49" s="299" t="e">
        <f t="shared" si="6"/>
        <v>#DIV/0!</v>
      </c>
    </row>
    <row r="50" spans="1:20">
      <c r="A50" s="215">
        <v>49</v>
      </c>
      <c r="B50" s="235"/>
      <c r="C50" s="235"/>
      <c r="Q50" s="310" t="e">
        <f t="shared" si="0"/>
        <v>#DIV/0!</v>
      </c>
      <c r="R50" s="299" t="e">
        <f t="shared" si="4"/>
        <v>#DIV/0!</v>
      </c>
      <c r="S50" s="299" t="e">
        <f t="shared" si="5"/>
        <v>#DIV/0!</v>
      </c>
      <c r="T50" s="299" t="e">
        <f t="shared" si="6"/>
        <v>#DIV/0!</v>
      </c>
    </row>
    <row r="51" spans="1:20">
      <c r="A51" s="215">
        <v>50</v>
      </c>
      <c r="B51" s="235"/>
      <c r="C51" s="235"/>
      <c r="Q51" s="310" t="e">
        <f t="shared" si="0"/>
        <v>#DIV/0!</v>
      </c>
      <c r="R51" s="299" t="e">
        <f t="shared" si="4"/>
        <v>#DIV/0!</v>
      </c>
      <c r="S51" s="299" t="e">
        <f t="shared" si="5"/>
        <v>#DIV/0!</v>
      </c>
      <c r="T51" s="299" t="e">
        <f t="shared" si="6"/>
        <v>#DIV/0!</v>
      </c>
    </row>
    <row r="52" spans="1:20">
      <c r="A52" s="215">
        <v>51</v>
      </c>
      <c r="B52" s="235"/>
      <c r="C52" s="235"/>
      <c r="Q52" s="310" t="e">
        <f t="shared" si="0"/>
        <v>#DIV/0!</v>
      </c>
      <c r="R52" s="299" t="e">
        <f t="shared" si="4"/>
        <v>#DIV/0!</v>
      </c>
      <c r="S52" s="299" t="e">
        <f t="shared" si="5"/>
        <v>#DIV/0!</v>
      </c>
      <c r="T52" s="299" t="e">
        <f t="shared" si="6"/>
        <v>#DIV/0!</v>
      </c>
    </row>
    <row r="53" spans="1:20">
      <c r="A53" s="215">
        <v>52</v>
      </c>
      <c r="B53" s="235"/>
      <c r="C53" s="235"/>
      <c r="Q53" s="310" t="e">
        <f t="shared" si="0"/>
        <v>#DIV/0!</v>
      </c>
      <c r="R53" s="299" t="e">
        <f t="shared" si="4"/>
        <v>#DIV/0!</v>
      </c>
      <c r="S53" s="299" t="e">
        <f t="shared" si="5"/>
        <v>#DIV/0!</v>
      </c>
      <c r="T53" s="299" t="e">
        <f t="shared" si="6"/>
        <v>#DIV/0!</v>
      </c>
    </row>
    <row r="54" spans="1:20">
      <c r="A54" s="215">
        <v>53</v>
      </c>
      <c r="B54" s="235"/>
      <c r="C54" s="235"/>
      <c r="Q54" s="310" t="e">
        <f t="shared" si="0"/>
        <v>#DIV/0!</v>
      </c>
      <c r="R54" s="299" t="e">
        <f t="shared" si="4"/>
        <v>#DIV/0!</v>
      </c>
      <c r="S54" s="299" t="e">
        <f t="shared" si="5"/>
        <v>#DIV/0!</v>
      </c>
      <c r="T54" s="299" t="e">
        <f t="shared" si="6"/>
        <v>#DIV/0!</v>
      </c>
    </row>
    <row r="55" spans="1:20">
      <c r="A55" s="215">
        <v>54</v>
      </c>
      <c r="B55" s="235"/>
      <c r="C55" s="235"/>
      <c r="Q55" s="310" t="e">
        <f t="shared" si="0"/>
        <v>#DIV/0!</v>
      </c>
      <c r="R55" s="299" t="e">
        <f t="shared" si="4"/>
        <v>#DIV/0!</v>
      </c>
      <c r="S55" s="299" t="e">
        <f t="shared" si="5"/>
        <v>#DIV/0!</v>
      </c>
      <c r="T55" s="299" t="e">
        <f t="shared" si="6"/>
        <v>#DIV/0!</v>
      </c>
    </row>
    <row r="56" spans="1:20">
      <c r="A56" s="215">
        <v>55</v>
      </c>
      <c r="B56" s="235"/>
      <c r="C56" s="235"/>
      <c r="Q56" s="310" t="e">
        <f t="shared" si="0"/>
        <v>#DIV/0!</v>
      </c>
      <c r="R56" s="299" t="e">
        <f t="shared" si="4"/>
        <v>#DIV/0!</v>
      </c>
      <c r="S56" s="299" t="e">
        <f t="shared" si="5"/>
        <v>#DIV/0!</v>
      </c>
      <c r="T56" s="299" t="e">
        <f t="shared" si="6"/>
        <v>#DIV/0!</v>
      </c>
    </row>
    <row r="57" spans="1:20">
      <c r="A57" s="215">
        <v>56</v>
      </c>
      <c r="B57" s="235"/>
      <c r="C57" s="235"/>
      <c r="Q57" s="310" t="e">
        <f t="shared" si="0"/>
        <v>#DIV/0!</v>
      </c>
      <c r="R57" s="299" t="e">
        <f t="shared" si="4"/>
        <v>#DIV/0!</v>
      </c>
      <c r="S57" s="299" t="e">
        <f t="shared" si="5"/>
        <v>#DIV/0!</v>
      </c>
      <c r="T57" s="299" t="e">
        <f t="shared" si="6"/>
        <v>#DIV/0!</v>
      </c>
    </row>
    <row r="58" spans="1:20">
      <c r="A58" s="215">
        <v>57</v>
      </c>
      <c r="B58" s="235"/>
      <c r="C58" s="235"/>
      <c r="Q58" s="310" t="e">
        <f t="shared" si="0"/>
        <v>#DIV/0!</v>
      </c>
      <c r="R58" s="299" t="e">
        <f t="shared" si="4"/>
        <v>#DIV/0!</v>
      </c>
      <c r="S58" s="299" t="e">
        <f t="shared" si="5"/>
        <v>#DIV/0!</v>
      </c>
      <c r="T58" s="299" t="e">
        <f t="shared" si="6"/>
        <v>#DIV/0!</v>
      </c>
    </row>
    <row r="59" spans="1:20">
      <c r="A59" s="215">
        <v>58</v>
      </c>
      <c r="B59" s="235"/>
      <c r="C59" s="235"/>
      <c r="Q59" s="310" t="e">
        <f t="shared" si="0"/>
        <v>#DIV/0!</v>
      </c>
      <c r="R59" s="299" t="e">
        <f t="shared" si="4"/>
        <v>#DIV/0!</v>
      </c>
      <c r="S59" s="299" t="e">
        <f t="shared" si="5"/>
        <v>#DIV/0!</v>
      </c>
      <c r="T59" s="299" t="e">
        <f t="shared" si="6"/>
        <v>#DIV/0!</v>
      </c>
    </row>
    <row r="60" spans="1:20">
      <c r="A60" s="215">
        <v>59</v>
      </c>
      <c r="B60" s="235"/>
      <c r="C60" s="235"/>
      <c r="Q60" s="310" t="e">
        <f t="shared" si="0"/>
        <v>#DIV/0!</v>
      </c>
      <c r="R60" s="299" t="e">
        <f t="shared" si="4"/>
        <v>#DIV/0!</v>
      </c>
      <c r="S60" s="299" t="e">
        <f t="shared" si="5"/>
        <v>#DIV/0!</v>
      </c>
      <c r="T60" s="299" t="e">
        <f t="shared" si="6"/>
        <v>#DIV/0!</v>
      </c>
    </row>
    <row r="61" spans="1:20">
      <c r="A61" s="215">
        <v>60</v>
      </c>
      <c r="B61" s="235"/>
      <c r="C61" s="235"/>
      <c r="Q61" s="310" t="e">
        <f t="shared" si="0"/>
        <v>#DIV/0!</v>
      </c>
      <c r="R61" s="299" t="e">
        <f t="shared" si="4"/>
        <v>#DIV/0!</v>
      </c>
      <c r="S61" s="299" t="e">
        <f t="shared" si="5"/>
        <v>#DIV/0!</v>
      </c>
      <c r="T61" s="299" t="e">
        <f t="shared" si="6"/>
        <v>#DIV/0!</v>
      </c>
    </row>
    <row r="62" spans="1:20">
      <c r="A62" s="215">
        <v>61</v>
      </c>
      <c r="B62" s="235"/>
      <c r="C62" s="235"/>
      <c r="Q62" s="310" t="e">
        <f t="shared" si="0"/>
        <v>#DIV/0!</v>
      </c>
      <c r="R62" s="299" t="e">
        <f t="shared" si="4"/>
        <v>#DIV/0!</v>
      </c>
      <c r="S62" s="299" t="e">
        <f t="shared" si="5"/>
        <v>#DIV/0!</v>
      </c>
      <c r="T62" s="299" t="e">
        <f t="shared" si="6"/>
        <v>#DIV/0!</v>
      </c>
    </row>
    <row r="63" spans="1:20">
      <c r="A63" s="215">
        <v>62</v>
      </c>
      <c r="B63" s="235"/>
      <c r="C63" s="235"/>
      <c r="Q63" s="310" t="e">
        <f t="shared" si="0"/>
        <v>#DIV/0!</v>
      </c>
      <c r="R63" s="299" t="e">
        <f t="shared" si="4"/>
        <v>#DIV/0!</v>
      </c>
      <c r="S63" s="299" t="e">
        <f t="shared" si="5"/>
        <v>#DIV/0!</v>
      </c>
      <c r="T63" s="299" t="e">
        <f t="shared" si="6"/>
        <v>#DIV/0!</v>
      </c>
    </row>
    <row r="64" spans="1:20">
      <c r="A64" s="215">
        <v>63</v>
      </c>
      <c r="B64" s="235"/>
      <c r="C64" s="235"/>
      <c r="Q64" s="310" t="e">
        <f t="shared" si="0"/>
        <v>#DIV/0!</v>
      </c>
      <c r="R64" s="299" t="e">
        <f t="shared" si="4"/>
        <v>#DIV/0!</v>
      </c>
      <c r="S64" s="299" t="e">
        <f t="shared" si="5"/>
        <v>#DIV/0!</v>
      </c>
      <c r="T64" s="299" t="e">
        <f t="shared" si="6"/>
        <v>#DIV/0!</v>
      </c>
    </row>
    <row r="65" spans="1:20">
      <c r="A65" s="215">
        <v>64</v>
      </c>
      <c r="B65" s="235"/>
      <c r="C65" s="235"/>
      <c r="Q65" s="310" t="e">
        <f t="shared" si="0"/>
        <v>#DIV/0!</v>
      </c>
      <c r="R65" s="299" t="e">
        <f t="shared" si="4"/>
        <v>#DIV/0!</v>
      </c>
      <c r="S65" s="299" t="e">
        <f t="shared" si="5"/>
        <v>#DIV/0!</v>
      </c>
      <c r="T65" s="299" t="e">
        <f t="shared" si="6"/>
        <v>#DIV/0!</v>
      </c>
    </row>
    <row r="66" spans="1:20">
      <c r="A66" s="215">
        <v>65</v>
      </c>
      <c r="B66" s="235"/>
      <c r="C66" s="235"/>
      <c r="Q66" s="310" t="e">
        <f t="shared" si="0"/>
        <v>#DIV/0!</v>
      </c>
      <c r="R66" s="299" t="e">
        <f t="shared" si="4"/>
        <v>#DIV/0!</v>
      </c>
      <c r="S66" s="299" t="e">
        <f t="shared" si="5"/>
        <v>#DIV/0!</v>
      </c>
      <c r="T66" s="299" t="e">
        <f t="shared" si="6"/>
        <v>#DIV/0!</v>
      </c>
    </row>
    <row r="67" spans="1:20">
      <c r="A67" s="215">
        <v>66</v>
      </c>
      <c r="B67" s="235"/>
      <c r="C67" s="235"/>
      <c r="Q67" s="310" t="e">
        <f t="shared" ref="Q67:Q70" si="7">B67/C67</f>
        <v>#DIV/0!</v>
      </c>
      <c r="R67" s="299" t="e">
        <f t="shared" si="4"/>
        <v>#DIV/0!</v>
      </c>
      <c r="S67" s="299" t="e">
        <f t="shared" si="5"/>
        <v>#DIV/0!</v>
      </c>
      <c r="T67" s="299" t="e">
        <f t="shared" si="6"/>
        <v>#DIV/0!</v>
      </c>
    </row>
    <row r="68" spans="1:20">
      <c r="A68" s="215">
        <v>67</v>
      </c>
      <c r="B68" s="235"/>
      <c r="C68" s="235"/>
      <c r="Q68" s="310" t="e">
        <f t="shared" si="7"/>
        <v>#DIV/0!</v>
      </c>
      <c r="R68" s="299" t="e">
        <f t="shared" si="4"/>
        <v>#DIV/0!</v>
      </c>
      <c r="S68" s="299" t="e">
        <f t="shared" si="5"/>
        <v>#DIV/0!</v>
      </c>
      <c r="T68" s="299" t="e">
        <f t="shared" si="6"/>
        <v>#DIV/0!</v>
      </c>
    </row>
    <row r="69" spans="1:20">
      <c r="A69" s="215">
        <v>68</v>
      </c>
      <c r="B69" s="235"/>
      <c r="C69" s="235"/>
      <c r="Q69" s="310" t="e">
        <f t="shared" si="7"/>
        <v>#DIV/0!</v>
      </c>
      <c r="R69" s="299" t="e">
        <f t="shared" si="4"/>
        <v>#DIV/0!</v>
      </c>
      <c r="S69" s="299" t="e">
        <f t="shared" si="5"/>
        <v>#DIV/0!</v>
      </c>
      <c r="T69" s="299" t="e">
        <f t="shared" si="6"/>
        <v>#DIV/0!</v>
      </c>
    </row>
    <row r="70" spans="1:20">
      <c r="A70" s="215">
        <v>69</v>
      </c>
      <c r="B70" s="235"/>
      <c r="C70" s="235"/>
      <c r="Q70" s="310" t="e">
        <f t="shared" si="7"/>
        <v>#DIV/0!</v>
      </c>
      <c r="R70" s="299" t="e">
        <f t="shared" si="4"/>
        <v>#DIV/0!</v>
      </c>
      <c r="S70" s="299" t="e">
        <f t="shared" si="5"/>
        <v>#DIV/0!</v>
      </c>
      <c r="T70" s="299" t="e">
        <f t="shared" si="6"/>
        <v>#DIV/0!</v>
      </c>
    </row>
    <row r="71" spans="1:20">
      <c r="B71" s="235"/>
      <c r="C71" s="235"/>
      <c r="Q71" s="310" t="e">
        <f t="shared" ref="Q71:Q101" si="8">B71/C71</f>
        <v>#DIV/0!</v>
      </c>
      <c r="R71" s="299" t="e">
        <f t="shared" ref="R71:R101" si="9">S71-3*SQRT(S71/C71)</f>
        <v>#DIV/0!</v>
      </c>
      <c r="S71" s="299" t="e">
        <f t="shared" si="5"/>
        <v>#DIV/0!</v>
      </c>
      <c r="T71" s="299" t="e">
        <f t="shared" ref="T71:T101" si="10">S71+3*SQRT(S71/C71)</f>
        <v>#DIV/0!</v>
      </c>
    </row>
    <row r="72" spans="1:20">
      <c r="B72" s="235"/>
      <c r="C72" s="235"/>
      <c r="Q72" s="310" t="e">
        <f t="shared" si="8"/>
        <v>#DIV/0!</v>
      </c>
      <c r="R72" s="299" t="e">
        <f t="shared" si="9"/>
        <v>#DIV/0!</v>
      </c>
      <c r="S72" s="299" t="e">
        <f t="shared" si="5"/>
        <v>#DIV/0!</v>
      </c>
      <c r="T72" s="299" t="e">
        <f t="shared" si="10"/>
        <v>#DIV/0!</v>
      </c>
    </row>
    <row r="73" spans="1:20">
      <c r="B73" s="235"/>
      <c r="C73" s="235"/>
      <c r="Q73" s="310" t="e">
        <f t="shared" si="8"/>
        <v>#DIV/0!</v>
      </c>
      <c r="R73" s="299" t="e">
        <f t="shared" si="9"/>
        <v>#DIV/0!</v>
      </c>
      <c r="S73" s="299" t="e">
        <f t="shared" si="5"/>
        <v>#DIV/0!</v>
      </c>
      <c r="T73" s="299" t="e">
        <f t="shared" si="10"/>
        <v>#DIV/0!</v>
      </c>
    </row>
    <row r="74" spans="1:20">
      <c r="B74" s="235"/>
      <c r="C74" s="235"/>
      <c r="Q74" s="310" t="e">
        <f t="shared" si="8"/>
        <v>#DIV/0!</v>
      </c>
      <c r="R74" s="299" t="e">
        <f t="shared" si="9"/>
        <v>#DIV/0!</v>
      </c>
      <c r="S74" s="299" t="e">
        <f t="shared" si="5"/>
        <v>#DIV/0!</v>
      </c>
      <c r="T74" s="299" t="e">
        <f t="shared" si="10"/>
        <v>#DIV/0!</v>
      </c>
    </row>
    <row r="75" spans="1:20">
      <c r="B75" s="235"/>
      <c r="C75" s="235"/>
      <c r="Q75" s="310" t="e">
        <f t="shared" si="8"/>
        <v>#DIV/0!</v>
      </c>
      <c r="R75" s="299" t="e">
        <f t="shared" si="9"/>
        <v>#DIV/0!</v>
      </c>
      <c r="S75" s="299" t="e">
        <f t="shared" si="5"/>
        <v>#DIV/0!</v>
      </c>
      <c r="T75" s="299" t="e">
        <f t="shared" si="10"/>
        <v>#DIV/0!</v>
      </c>
    </row>
    <row r="76" spans="1:20">
      <c r="B76" s="235"/>
      <c r="C76" s="235"/>
      <c r="Q76" s="310" t="e">
        <f t="shared" si="8"/>
        <v>#DIV/0!</v>
      </c>
      <c r="R76" s="299" t="e">
        <f t="shared" si="9"/>
        <v>#DIV/0!</v>
      </c>
      <c r="S76" s="299" t="e">
        <f t="shared" si="5"/>
        <v>#DIV/0!</v>
      </c>
      <c r="T76" s="299" t="e">
        <f t="shared" si="10"/>
        <v>#DIV/0!</v>
      </c>
    </row>
    <row r="77" spans="1:20">
      <c r="B77" s="235"/>
      <c r="C77" s="235"/>
      <c r="Q77" s="310" t="e">
        <f t="shared" si="8"/>
        <v>#DIV/0!</v>
      </c>
      <c r="R77" s="299" t="e">
        <f t="shared" si="9"/>
        <v>#DIV/0!</v>
      </c>
      <c r="S77" s="299" t="e">
        <f t="shared" si="5"/>
        <v>#DIV/0!</v>
      </c>
      <c r="T77" s="299" t="e">
        <f t="shared" si="10"/>
        <v>#DIV/0!</v>
      </c>
    </row>
    <row r="78" spans="1:20">
      <c r="B78" s="235"/>
      <c r="C78" s="235"/>
      <c r="Q78" s="310" t="e">
        <f t="shared" si="8"/>
        <v>#DIV/0!</v>
      </c>
      <c r="R78" s="299" t="e">
        <f t="shared" si="9"/>
        <v>#DIV/0!</v>
      </c>
      <c r="S78" s="299" t="e">
        <f t="shared" si="5"/>
        <v>#DIV/0!</v>
      </c>
      <c r="T78" s="299" t="e">
        <f t="shared" si="10"/>
        <v>#DIV/0!</v>
      </c>
    </row>
    <row r="79" spans="1:20">
      <c r="B79" s="235"/>
      <c r="C79" s="235"/>
      <c r="Q79" s="310" t="e">
        <f t="shared" si="8"/>
        <v>#DIV/0!</v>
      </c>
      <c r="R79" s="299" t="e">
        <f t="shared" si="9"/>
        <v>#DIV/0!</v>
      </c>
      <c r="S79" s="299" t="e">
        <f t="shared" si="5"/>
        <v>#DIV/0!</v>
      </c>
      <c r="T79" s="299" t="e">
        <f t="shared" si="10"/>
        <v>#DIV/0!</v>
      </c>
    </row>
    <row r="80" spans="1:20">
      <c r="B80" s="235"/>
      <c r="C80" s="235"/>
      <c r="Q80" s="310" t="e">
        <f t="shared" si="8"/>
        <v>#DIV/0!</v>
      </c>
      <c r="R80" s="299" t="e">
        <f t="shared" si="9"/>
        <v>#DIV/0!</v>
      </c>
      <c r="S80" s="299" t="e">
        <f t="shared" si="5"/>
        <v>#DIV/0!</v>
      </c>
      <c r="T80" s="299" t="e">
        <f t="shared" si="10"/>
        <v>#DIV/0!</v>
      </c>
    </row>
    <row r="81" spans="2:20">
      <c r="B81" s="235"/>
      <c r="C81" s="235"/>
      <c r="Q81" s="310" t="e">
        <f t="shared" si="8"/>
        <v>#DIV/0!</v>
      </c>
      <c r="R81" s="299" t="e">
        <f t="shared" si="9"/>
        <v>#DIV/0!</v>
      </c>
      <c r="S81" s="299" t="e">
        <f t="shared" si="5"/>
        <v>#DIV/0!</v>
      </c>
      <c r="T81" s="299" t="e">
        <f t="shared" si="10"/>
        <v>#DIV/0!</v>
      </c>
    </row>
    <row r="82" spans="2:20">
      <c r="B82" s="235"/>
      <c r="C82" s="235"/>
      <c r="Q82" s="310" t="e">
        <f t="shared" si="8"/>
        <v>#DIV/0!</v>
      </c>
      <c r="R82" s="299" t="e">
        <f t="shared" si="9"/>
        <v>#DIV/0!</v>
      </c>
      <c r="S82" s="299" t="e">
        <f t="shared" si="5"/>
        <v>#DIV/0!</v>
      </c>
      <c r="T82" s="299" t="e">
        <f t="shared" si="10"/>
        <v>#DIV/0!</v>
      </c>
    </row>
    <row r="83" spans="2:20">
      <c r="B83" s="235"/>
      <c r="C83" s="235"/>
      <c r="Q83" s="310" t="e">
        <f t="shared" si="8"/>
        <v>#DIV/0!</v>
      </c>
      <c r="R83" s="299" t="e">
        <f t="shared" si="9"/>
        <v>#DIV/0!</v>
      </c>
      <c r="S83" s="299" t="e">
        <f t="shared" si="5"/>
        <v>#DIV/0!</v>
      </c>
      <c r="T83" s="299" t="e">
        <f t="shared" si="10"/>
        <v>#DIV/0!</v>
      </c>
    </row>
    <row r="84" spans="2:20">
      <c r="B84" s="235"/>
      <c r="C84" s="235"/>
      <c r="Q84" s="310" t="e">
        <f t="shared" si="8"/>
        <v>#DIV/0!</v>
      </c>
      <c r="R84" s="299" t="e">
        <f t="shared" si="9"/>
        <v>#DIV/0!</v>
      </c>
      <c r="S84" s="299" t="e">
        <f t="shared" si="5"/>
        <v>#DIV/0!</v>
      </c>
      <c r="T84" s="299" t="e">
        <f t="shared" si="10"/>
        <v>#DIV/0!</v>
      </c>
    </row>
    <row r="85" spans="2:20">
      <c r="B85" s="235"/>
      <c r="C85" s="235"/>
      <c r="Q85" s="310" t="e">
        <f t="shared" si="8"/>
        <v>#DIV/0!</v>
      </c>
      <c r="R85" s="299" t="e">
        <f t="shared" si="9"/>
        <v>#DIV/0!</v>
      </c>
      <c r="S85" s="299" t="e">
        <f t="shared" si="5"/>
        <v>#DIV/0!</v>
      </c>
      <c r="T85" s="299" t="e">
        <f t="shared" si="10"/>
        <v>#DIV/0!</v>
      </c>
    </row>
    <row r="86" spans="2:20">
      <c r="B86" s="235"/>
      <c r="C86" s="235"/>
      <c r="Q86" s="310" t="e">
        <f t="shared" si="8"/>
        <v>#DIV/0!</v>
      </c>
      <c r="R86" s="299" t="e">
        <f t="shared" si="9"/>
        <v>#DIV/0!</v>
      </c>
      <c r="S86" s="299" t="e">
        <f t="shared" si="5"/>
        <v>#DIV/0!</v>
      </c>
      <c r="T86" s="299" t="e">
        <f t="shared" si="10"/>
        <v>#DIV/0!</v>
      </c>
    </row>
    <row r="87" spans="2:20">
      <c r="B87" s="235"/>
      <c r="C87" s="235"/>
      <c r="Q87" s="310" t="e">
        <f t="shared" si="8"/>
        <v>#DIV/0!</v>
      </c>
      <c r="R87" s="299" t="e">
        <f t="shared" si="9"/>
        <v>#DIV/0!</v>
      </c>
      <c r="S87" s="299" t="e">
        <f t="shared" si="5"/>
        <v>#DIV/0!</v>
      </c>
      <c r="T87" s="299" t="e">
        <f t="shared" si="10"/>
        <v>#DIV/0!</v>
      </c>
    </row>
    <row r="88" spans="2:20">
      <c r="B88" s="235"/>
      <c r="C88" s="235"/>
      <c r="Q88" s="310" t="e">
        <f t="shared" si="8"/>
        <v>#DIV/0!</v>
      </c>
      <c r="R88" s="299" t="e">
        <f t="shared" si="9"/>
        <v>#DIV/0!</v>
      </c>
      <c r="S88" s="299" t="e">
        <f t="shared" si="5"/>
        <v>#DIV/0!</v>
      </c>
      <c r="T88" s="299" t="e">
        <f t="shared" si="10"/>
        <v>#DIV/0!</v>
      </c>
    </row>
    <row r="89" spans="2:20">
      <c r="B89" s="235"/>
      <c r="C89" s="235"/>
      <c r="Q89" s="310" t="e">
        <f t="shared" si="8"/>
        <v>#DIV/0!</v>
      </c>
      <c r="R89" s="299" t="e">
        <f t="shared" si="9"/>
        <v>#DIV/0!</v>
      </c>
      <c r="S89" s="299" t="e">
        <f t="shared" si="5"/>
        <v>#DIV/0!</v>
      </c>
      <c r="T89" s="299" t="e">
        <f t="shared" si="10"/>
        <v>#DIV/0!</v>
      </c>
    </row>
    <row r="90" spans="2:20">
      <c r="B90" s="235"/>
      <c r="C90" s="235"/>
      <c r="Q90" s="310" t="e">
        <f t="shared" si="8"/>
        <v>#DIV/0!</v>
      </c>
      <c r="R90" s="299" t="e">
        <f t="shared" si="9"/>
        <v>#DIV/0!</v>
      </c>
      <c r="S90" s="299" t="e">
        <f t="shared" si="5"/>
        <v>#DIV/0!</v>
      </c>
      <c r="T90" s="299" t="e">
        <f t="shared" si="10"/>
        <v>#DIV/0!</v>
      </c>
    </row>
    <row r="91" spans="2:20">
      <c r="B91" s="235"/>
      <c r="C91" s="235"/>
      <c r="Q91" s="310" t="e">
        <f t="shared" si="8"/>
        <v>#DIV/0!</v>
      </c>
      <c r="R91" s="299" t="e">
        <f t="shared" si="9"/>
        <v>#DIV/0!</v>
      </c>
      <c r="S91" s="299" t="e">
        <f t="shared" si="5"/>
        <v>#DIV/0!</v>
      </c>
      <c r="T91" s="299" t="e">
        <f t="shared" si="10"/>
        <v>#DIV/0!</v>
      </c>
    </row>
    <row r="92" spans="2:20">
      <c r="B92" s="235"/>
      <c r="C92" s="235"/>
      <c r="Q92" s="310" t="e">
        <f t="shared" si="8"/>
        <v>#DIV/0!</v>
      </c>
      <c r="R92" s="299" t="e">
        <f t="shared" si="9"/>
        <v>#DIV/0!</v>
      </c>
      <c r="S92" s="299" t="e">
        <f t="shared" si="5"/>
        <v>#DIV/0!</v>
      </c>
      <c r="T92" s="299" t="e">
        <f t="shared" si="10"/>
        <v>#DIV/0!</v>
      </c>
    </row>
    <row r="93" spans="2:20">
      <c r="B93" s="235"/>
      <c r="C93" s="235"/>
      <c r="Q93" s="310" t="e">
        <f t="shared" si="8"/>
        <v>#DIV/0!</v>
      </c>
      <c r="R93" s="299" t="e">
        <f t="shared" si="9"/>
        <v>#DIV/0!</v>
      </c>
      <c r="S93" s="299" t="e">
        <f t="shared" si="5"/>
        <v>#DIV/0!</v>
      </c>
      <c r="T93" s="299" t="e">
        <f t="shared" si="10"/>
        <v>#DIV/0!</v>
      </c>
    </row>
    <row r="94" spans="2:20">
      <c r="B94" s="235"/>
      <c r="C94" s="235"/>
      <c r="Q94" s="310" t="e">
        <f t="shared" si="8"/>
        <v>#DIV/0!</v>
      </c>
      <c r="R94" s="299" t="e">
        <f t="shared" si="9"/>
        <v>#DIV/0!</v>
      </c>
      <c r="S94" s="299" t="e">
        <f t="shared" si="5"/>
        <v>#DIV/0!</v>
      </c>
      <c r="T94" s="299" t="e">
        <f t="shared" si="10"/>
        <v>#DIV/0!</v>
      </c>
    </row>
    <row r="95" spans="2:20">
      <c r="B95" s="235"/>
      <c r="C95" s="235"/>
      <c r="Q95" s="310" t="e">
        <f t="shared" si="8"/>
        <v>#DIV/0!</v>
      </c>
      <c r="R95" s="299" t="e">
        <f t="shared" si="9"/>
        <v>#DIV/0!</v>
      </c>
      <c r="S95" s="299" t="e">
        <f t="shared" si="5"/>
        <v>#DIV/0!</v>
      </c>
      <c r="T95" s="299" t="e">
        <f t="shared" si="10"/>
        <v>#DIV/0!</v>
      </c>
    </row>
    <row r="96" spans="2:20">
      <c r="B96" s="235"/>
      <c r="C96" s="235"/>
      <c r="Q96" s="310" t="e">
        <f t="shared" si="8"/>
        <v>#DIV/0!</v>
      </c>
      <c r="R96" s="299" t="e">
        <f t="shared" si="9"/>
        <v>#DIV/0!</v>
      </c>
      <c r="S96" s="299" t="e">
        <f t="shared" si="5"/>
        <v>#DIV/0!</v>
      </c>
      <c r="T96" s="299" t="e">
        <f t="shared" si="10"/>
        <v>#DIV/0!</v>
      </c>
    </row>
    <row r="97" spans="2:20">
      <c r="B97" s="235"/>
      <c r="C97" s="235"/>
      <c r="Q97" s="310" t="e">
        <f t="shared" si="8"/>
        <v>#DIV/0!</v>
      </c>
      <c r="R97" s="299" t="e">
        <f t="shared" si="9"/>
        <v>#DIV/0!</v>
      </c>
      <c r="S97" s="299" t="e">
        <f t="shared" si="5"/>
        <v>#DIV/0!</v>
      </c>
      <c r="T97" s="299" t="e">
        <f t="shared" si="10"/>
        <v>#DIV/0!</v>
      </c>
    </row>
    <row r="98" spans="2:20">
      <c r="B98" s="235"/>
      <c r="C98" s="235"/>
      <c r="Q98" s="310" t="e">
        <f t="shared" si="8"/>
        <v>#DIV/0!</v>
      </c>
      <c r="R98" s="299" t="e">
        <f t="shared" si="9"/>
        <v>#DIV/0!</v>
      </c>
      <c r="S98" s="299" t="e">
        <f t="shared" si="5"/>
        <v>#DIV/0!</v>
      </c>
      <c r="T98" s="299" t="e">
        <f t="shared" si="10"/>
        <v>#DIV/0!</v>
      </c>
    </row>
    <row r="99" spans="2:20">
      <c r="B99" s="235"/>
      <c r="C99" s="235"/>
      <c r="Q99" s="310" t="e">
        <f t="shared" si="8"/>
        <v>#DIV/0!</v>
      </c>
      <c r="R99" s="299" t="e">
        <f t="shared" si="9"/>
        <v>#DIV/0!</v>
      </c>
      <c r="S99" s="299" t="e">
        <f t="shared" si="5"/>
        <v>#DIV/0!</v>
      </c>
      <c r="T99" s="299" t="e">
        <f t="shared" si="10"/>
        <v>#DIV/0!</v>
      </c>
    </row>
    <row r="100" spans="2:20">
      <c r="B100" s="235"/>
      <c r="C100" s="235"/>
      <c r="Q100" s="310" t="e">
        <f t="shared" si="8"/>
        <v>#DIV/0!</v>
      </c>
      <c r="R100" s="299" t="e">
        <f t="shared" si="9"/>
        <v>#DIV/0!</v>
      </c>
      <c r="S100" s="299" t="e">
        <f t="shared" si="5"/>
        <v>#DIV/0!</v>
      </c>
      <c r="T100" s="299" t="e">
        <f t="shared" si="10"/>
        <v>#DIV/0!</v>
      </c>
    </row>
    <row r="101" spans="2:20">
      <c r="B101" s="235"/>
      <c r="C101" s="235"/>
      <c r="Q101" s="310" t="e">
        <f t="shared" si="8"/>
        <v>#DIV/0!</v>
      </c>
      <c r="R101" s="299" t="e">
        <f t="shared" si="9"/>
        <v>#DIV/0!</v>
      </c>
      <c r="S101" s="299" t="e">
        <f t="shared" ref="S101" si="11">S100</f>
        <v>#DIV/0!</v>
      </c>
      <c r="T101" s="299" t="e">
        <f t="shared" si="10"/>
        <v>#DIV/0!</v>
      </c>
    </row>
  </sheetData>
  <pageMargins left="0.70866141732283472" right="0.70866141732283472" top="0.74803149606299213" bottom="0.74803149606299213" header="0.31496062992125984" footer="0.31496062992125984"/>
  <pageSetup paperSize="9" scale="31" orientation="landscape" horizontalDpi="4294967293" verticalDpi="0" r:id="rId1"/>
  <customProperties>
    <customPr name="ORB_SHEETNAME" r:id="rId2"/>
  </customProperties>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6">
    <pageSetUpPr fitToPage="1"/>
  </sheetPr>
  <dimension ref="A1:U101"/>
  <sheetViews>
    <sheetView zoomScaleNormal="100" workbookViewId="0"/>
  </sheetViews>
  <sheetFormatPr defaultColWidth="8.7109375" defaultRowHeight="15.75"/>
  <cols>
    <col min="1" max="1" width="15.5703125" style="173" customWidth="1"/>
    <col min="2" max="2" width="9.42578125" style="34" customWidth="1"/>
    <col min="3" max="16" width="8.7109375" style="34"/>
    <col min="17" max="19" width="9.42578125" style="36" customWidth="1"/>
    <col min="20" max="16384" width="8.7109375" style="34"/>
  </cols>
  <sheetData>
    <row r="1" spans="1:21" ht="47.25">
      <c r="A1" s="30" t="s">
        <v>752</v>
      </c>
      <c r="B1" s="30" t="s">
        <v>497</v>
      </c>
      <c r="C1" s="707"/>
      <c r="D1" s="707"/>
      <c r="E1" s="707"/>
      <c r="F1" s="707"/>
      <c r="G1" s="707"/>
      <c r="H1" s="707"/>
      <c r="I1" s="707"/>
      <c r="J1" s="707"/>
      <c r="K1" s="707"/>
      <c r="L1" s="707"/>
      <c r="M1" s="707"/>
      <c r="N1" s="707"/>
      <c r="O1" s="707"/>
      <c r="P1" s="707"/>
      <c r="Q1" s="284" t="s">
        <v>755</v>
      </c>
      <c r="R1" s="284" t="s">
        <v>789</v>
      </c>
      <c r="S1" s="284" t="s">
        <v>761</v>
      </c>
      <c r="T1" s="707"/>
      <c r="U1" s="707"/>
    </row>
    <row r="2" spans="1:21">
      <c r="A2" s="1165">
        <v>1</v>
      </c>
      <c r="B2" s="307">
        <v>4</v>
      </c>
      <c r="C2" s="707"/>
      <c r="D2" s="707"/>
      <c r="E2" s="707"/>
      <c r="F2" s="707"/>
      <c r="G2" s="707"/>
      <c r="H2" s="707"/>
      <c r="I2" s="707"/>
      <c r="J2" s="707"/>
      <c r="K2" s="707"/>
      <c r="L2" s="707"/>
      <c r="M2" s="707"/>
      <c r="N2" s="707"/>
      <c r="O2" s="707"/>
      <c r="P2" s="707"/>
      <c r="Q2" s="288">
        <f>R2-3*SQRT(R2)</f>
        <v>-2.2336461788299116</v>
      </c>
      <c r="R2" s="288">
        <f>AVERAGE(B2:B21)</f>
        <v>2.65</v>
      </c>
      <c r="S2" s="288">
        <f>R2+3*SQRT(R2)</f>
        <v>7.5336461788299118</v>
      </c>
      <c r="T2" s="707"/>
      <c r="U2" s="707"/>
    </row>
    <row r="3" spans="1:21">
      <c r="A3" s="1165">
        <v>2</v>
      </c>
      <c r="B3" s="307">
        <v>1</v>
      </c>
      <c r="C3" s="707"/>
      <c r="D3" s="707"/>
      <c r="E3" s="707"/>
      <c r="F3" s="707"/>
      <c r="G3" s="707"/>
      <c r="H3" s="707"/>
      <c r="I3" s="707"/>
      <c r="J3" s="707"/>
      <c r="K3" s="707"/>
      <c r="L3" s="707"/>
      <c r="M3" s="707"/>
      <c r="N3" s="707"/>
      <c r="O3" s="707"/>
      <c r="P3" s="707"/>
      <c r="Q3" s="36">
        <f t="shared" ref="Q3:Q36" si="0">Q2</f>
        <v>-2.2336461788299116</v>
      </c>
      <c r="R3" s="36">
        <f t="shared" ref="R3:R36" si="1">R2</f>
        <v>2.65</v>
      </c>
      <c r="S3" s="36">
        <f t="shared" ref="S3:S36" si="2">S2</f>
        <v>7.5336461788299118</v>
      </c>
      <c r="T3" s="707"/>
      <c r="U3" s="707"/>
    </row>
    <row r="4" spans="1:21">
      <c r="A4" s="1165">
        <v>3</v>
      </c>
      <c r="B4" s="307">
        <v>3</v>
      </c>
      <c r="C4" s="707"/>
      <c r="D4" s="707"/>
      <c r="E4" s="707"/>
      <c r="F4" s="707"/>
      <c r="G4" s="707"/>
      <c r="H4" s="707"/>
      <c r="I4" s="707"/>
      <c r="J4" s="707"/>
      <c r="K4" s="707"/>
      <c r="L4" s="707"/>
      <c r="M4" s="707"/>
      <c r="N4" s="707"/>
      <c r="O4" s="707"/>
      <c r="P4" s="707"/>
      <c r="Q4" s="36">
        <f t="shared" si="0"/>
        <v>-2.2336461788299116</v>
      </c>
      <c r="R4" s="36">
        <f t="shared" si="1"/>
        <v>2.65</v>
      </c>
      <c r="S4" s="36">
        <f t="shared" si="2"/>
        <v>7.5336461788299118</v>
      </c>
      <c r="T4" s="707"/>
      <c r="U4" s="707"/>
    </row>
    <row r="5" spans="1:21">
      <c r="A5" s="1165">
        <v>4</v>
      </c>
      <c r="B5" s="307">
        <v>1</v>
      </c>
      <c r="C5" s="707"/>
      <c r="D5" s="707"/>
      <c r="E5" s="707"/>
      <c r="F5" s="707"/>
      <c r="G5" s="707"/>
      <c r="H5" s="707"/>
      <c r="I5" s="707"/>
      <c r="J5" s="707"/>
      <c r="K5" s="707"/>
      <c r="L5" s="707"/>
      <c r="M5" s="707"/>
      <c r="N5" s="707"/>
      <c r="O5" s="1170"/>
      <c r="P5" s="1170"/>
      <c r="Q5" s="36">
        <f t="shared" si="0"/>
        <v>-2.2336461788299116</v>
      </c>
      <c r="R5" s="36">
        <f t="shared" si="1"/>
        <v>2.65</v>
      </c>
      <c r="S5" s="36">
        <f t="shared" si="2"/>
        <v>7.5336461788299118</v>
      </c>
      <c r="T5" s="1170"/>
      <c r="U5" s="707"/>
    </row>
    <row r="6" spans="1:21">
      <c r="A6" s="1165">
        <v>5</v>
      </c>
      <c r="B6" s="307">
        <v>2</v>
      </c>
      <c r="C6" s="707"/>
      <c r="D6" s="707"/>
      <c r="E6" s="707"/>
      <c r="F6" s="707"/>
      <c r="G6" s="707"/>
      <c r="H6" s="707"/>
      <c r="I6" s="707"/>
      <c r="J6" s="707"/>
      <c r="K6" s="707"/>
      <c r="L6" s="707"/>
      <c r="M6" s="707"/>
      <c r="N6" s="707"/>
      <c r="O6" s="1170"/>
      <c r="P6" s="1170"/>
      <c r="Q6" s="36">
        <f t="shared" si="0"/>
        <v>-2.2336461788299116</v>
      </c>
      <c r="R6" s="36">
        <f t="shared" si="1"/>
        <v>2.65</v>
      </c>
      <c r="S6" s="36">
        <f t="shared" si="2"/>
        <v>7.5336461788299118</v>
      </c>
      <c r="T6" s="1170"/>
      <c r="U6" s="707"/>
    </row>
    <row r="7" spans="1:21">
      <c r="A7" s="1165">
        <v>6</v>
      </c>
      <c r="B7" s="307">
        <v>6</v>
      </c>
      <c r="C7" s="707"/>
      <c r="D7" s="707"/>
      <c r="E7" s="707"/>
      <c r="F7" s="707"/>
      <c r="G7" s="707"/>
      <c r="H7" s="707"/>
      <c r="I7" s="707"/>
      <c r="J7" s="707"/>
      <c r="K7" s="707"/>
      <c r="L7" s="707"/>
      <c r="M7" s="707"/>
      <c r="N7" s="707"/>
      <c r="O7" s="707"/>
      <c r="P7" s="707"/>
      <c r="Q7" s="36">
        <f t="shared" si="0"/>
        <v>-2.2336461788299116</v>
      </c>
      <c r="R7" s="36">
        <f t="shared" si="1"/>
        <v>2.65</v>
      </c>
      <c r="S7" s="36">
        <f t="shared" si="2"/>
        <v>7.5336461788299118</v>
      </c>
      <c r="T7" s="707"/>
      <c r="U7" s="707"/>
    </row>
    <row r="8" spans="1:21">
      <c r="A8" s="1165">
        <v>7</v>
      </c>
      <c r="B8" s="307">
        <v>3</v>
      </c>
      <c r="C8" s="707"/>
      <c r="D8" s="707"/>
      <c r="E8" s="707"/>
      <c r="F8" s="707"/>
      <c r="G8" s="707"/>
      <c r="H8" s="707"/>
      <c r="I8" s="707"/>
      <c r="J8" s="707"/>
      <c r="K8" s="707"/>
      <c r="L8" s="707"/>
      <c r="M8" s="707"/>
      <c r="N8" s="707"/>
      <c r="O8" s="707"/>
      <c r="P8" s="707"/>
      <c r="Q8" s="36">
        <f t="shared" si="0"/>
        <v>-2.2336461788299116</v>
      </c>
      <c r="R8" s="36">
        <f t="shared" si="1"/>
        <v>2.65</v>
      </c>
      <c r="S8" s="36">
        <f t="shared" si="2"/>
        <v>7.5336461788299118</v>
      </c>
      <c r="T8" s="707"/>
      <c r="U8" s="707"/>
    </row>
    <row r="9" spans="1:21">
      <c r="A9" s="1165">
        <v>8</v>
      </c>
      <c r="B9" s="307">
        <v>2</v>
      </c>
      <c r="C9" s="707"/>
      <c r="D9" s="707"/>
      <c r="E9" s="707"/>
      <c r="F9" s="707"/>
      <c r="G9" s="707"/>
      <c r="H9" s="707"/>
      <c r="I9" s="707"/>
      <c r="J9" s="707"/>
      <c r="K9" s="707"/>
      <c r="L9" s="707"/>
      <c r="M9" s="707"/>
      <c r="N9" s="707"/>
      <c r="O9" s="707"/>
      <c r="P9" s="707"/>
      <c r="Q9" s="36">
        <f t="shared" si="0"/>
        <v>-2.2336461788299116</v>
      </c>
      <c r="R9" s="36">
        <f t="shared" si="1"/>
        <v>2.65</v>
      </c>
      <c r="S9" s="36">
        <f t="shared" si="2"/>
        <v>7.5336461788299118</v>
      </c>
      <c r="T9" s="707"/>
      <c r="U9" s="707"/>
    </row>
    <row r="10" spans="1:21">
      <c r="A10" s="1165">
        <v>9</v>
      </c>
      <c r="B10" s="307">
        <v>1</v>
      </c>
      <c r="C10" s="707"/>
      <c r="D10" s="707"/>
      <c r="E10" s="707"/>
      <c r="F10" s="707"/>
      <c r="G10" s="707"/>
      <c r="H10" s="707"/>
      <c r="I10" s="707"/>
      <c r="J10" s="707"/>
      <c r="K10" s="707"/>
      <c r="L10" s="707"/>
      <c r="M10" s="707"/>
      <c r="N10" s="707"/>
      <c r="O10" s="707"/>
      <c r="P10" s="707"/>
      <c r="Q10" s="36">
        <f t="shared" si="0"/>
        <v>-2.2336461788299116</v>
      </c>
      <c r="R10" s="36">
        <f t="shared" si="1"/>
        <v>2.65</v>
      </c>
      <c r="S10" s="36">
        <f t="shared" si="2"/>
        <v>7.5336461788299118</v>
      </c>
      <c r="T10" s="707"/>
      <c r="U10" s="707"/>
    </row>
    <row r="11" spans="1:21">
      <c r="A11" s="1165">
        <v>10</v>
      </c>
      <c r="B11" s="307">
        <v>1</v>
      </c>
      <c r="C11" s="707"/>
      <c r="D11" s="707"/>
      <c r="E11" s="1077"/>
      <c r="F11" s="707"/>
      <c r="G11" s="707"/>
      <c r="H11" s="707"/>
      <c r="I11" s="707"/>
      <c r="J11" s="707"/>
      <c r="K11" s="707"/>
      <c r="L11" s="707"/>
      <c r="M11" s="707"/>
      <c r="N11" s="707"/>
      <c r="O11" s="707"/>
      <c r="P11" s="707"/>
      <c r="Q11" s="36">
        <f t="shared" si="0"/>
        <v>-2.2336461788299116</v>
      </c>
      <c r="R11" s="36">
        <f t="shared" si="1"/>
        <v>2.65</v>
      </c>
      <c r="S11" s="36">
        <f t="shared" si="2"/>
        <v>7.5336461788299118</v>
      </c>
      <c r="T11" s="707"/>
      <c r="U11" s="707"/>
    </row>
    <row r="12" spans="1:21">
      <c r="A12" s="1165">
        <v>11</v>
      </c>
      <c r="B12" s="307">
        <v>2</v>
      </c>
      <c r="C12" s="707"/>
      <c r="D12" s="707"/>
      <c r="E12" s="707"/>
      <c r="F12" s="707"/>
      <c r="G12" s="707"/>
      <c r="H12" s="707"/>
      <c r="I12" s="707"/>
      <c r="J12" s="707"/>
      <c r="K12" s="707"/>
      <c r="L12" s="707"/>
      <c r="M12" s="707"/>
      <c r="N12" s="707"/>
      <c r="O12" s="707"/>
      <c r="P12" s="707"/>
      <c r="Q12" s="36">
        <f t="shared" si="0"/>
        <v>-2.2336461788299116</v>
      </c>
      <c r="R12" s="36">
        <f t="shared" si="1"/>
        <v>2.65</v>
      </c>
      <c r="S12" s="36">
        <f t="shared" si="2"/>
        <v>7.5336461788299118</v>
      </c>
      <c r="T12" s="707"/>
      <c r="U12" s="707"/>
    </row>
    <row r="13" spans="1:21">
      <c r="A13" s="1165">
        <v>12</v>
      </c>
      <c r="B13" s="307">
        <v>3</v>
      </c>
      <c r="C13" s="707"/>
      <c r="D13" s="707"/>
      <c r="E13" s="707"/>
      <c r="F13" s="707"/>
      <c r="G13" s="707"/>
      <c r="H13" s="707"/>
      <c r="I13" s="707"/>
      <c r="J13" s="707"/>
      <c r="K13" s="707"/>
      <c r="L13" s="707"/>
      <c r="M13" s="707"/>
      <c r="N13" s="707"/>
      <c r="O13" s="707"/>
      <c r="P13" s="707"/>
      <c r="Q13" s="36">
        <f t="shared" si="0"/>
        <v>-2.2336461788299116</v>
      </c>
      <c r="R13" s="36">
        <f t="shared" si="1"/>
        <v>2.65</v>
      </c>
      <c r="S13" s="36">
        <f t="shared" si="2"/>
        <v>7.5336461788299118</v>
      </c>
      <c r="T13" s="707"/>
      <c r="U13" s="707" t="s">
        <v>792</v>
      </c>
    </row>
    <row r="14" spans="1:21">
      <c r="A14" s="1165">
        <v>13</v>
      </c>
      <c r="B14" s="307">
        <v>4</v>
      </c>
      <c r="C14" s="707"/>
      <c r="D14" s="707"/>
      <c r="E14" s="707"/>
      <c r="F14" s="707"/>
      <c r="G14" s="707"/>
      <c r="H14" s="707"/>
      <c r="I14" s="707"/>
      <c r="J14" s="707"/>
      <c r="K14" s="707"/>
      <c r="L14" s="707"/>
      <c r="M14" s="707"/>
      <c r="N14" s="707"/>
      <c r="O14" s="707"/>
      <c r="P14" s="707"/>
      <c r="Q14" s="36">
        <f t="shared" si="0"/>
        <v>-2.2336461788299116</v>
      </c>
      <c r="R14" s="36">
        <f t="shared" si="1"/>
        <v>2.65</v>
      </c>
      <c r="S14" s="36">
        <f t="shared" si="2"/>
        <v>7.5336461788299118</v>
      </c>
      <c r="T14" s="707"/>
      <c r="U14" s="707"/>
    </row>
    <row r="15" spans="1:21">
      <c r="A15" s="1165">
        <v>14</v>
      </c>
      <c r="B15" s="307">
        <v>3</v>
      </c>
      <c r="C15" s="707"/>
      <c r="D15" s="707"/>
      <c r="E15" s="707"/>
      <c r="F15" s="707"/>
      <c r="G15" s="707"/>
      <c r="H15" s="707"/>
      <c r="I15" s="707"/>
      <c r="J15" s="707"/>
      <c r="K15" s="707"/>
      <c r="L15" s="707"/>
      <c r="M15" s="707"/>
      <c r="N15" s="707"/>
      <c r="O15" s="707"/>
      <c r="P15" s="707"/>
      <c r="Q15" s="36">
        <f t="shared" si="0"/>
        <v>-2.2336461788299116</v>
      </c>
      <c r="R15" s="36">
        <f t="shared" si="1"/>
        <v>2.65</v>
      </c>
      <c r="S15" s="36">
        <f t="shared" si="2"/>
        <v>7.5336461788299118</v>
      </c>
      <c r="T15" s="707"/>
      <c r="U15" s="707"/>
    </row>
    <row r="16" spans="1:21">
      <c r="A16" s="1165">
        <v>15</v>
      </c>
      <c r="B16" s="307">
        <v>3</v>
      </c>
      <c r="C16" s="707"/>
      <c r="D16" s="707"/>
      <c r="E16" s="707"/>
      <c r="F16" s="707"/>
      <c r="G16" s="707"/>
      <c r="H16" s="707"/>
      <c r="I16" s="707"/>
      <c r="J16" s="707"/>
      <c r="K16" s="707"/>
      <c r="L16" s="707"/>
      <c r="M16" s="707"/>
      <c r="N16" s="707"/>
      <c r="O16" s="707"/>
      <c r="P16" s="707"/>
      <c r="Q16" s="36">
        <f t="shared" si="0"/>
        <v>-2.2336461788299116</v>
      </c>
      <c r="R16" s="36">
        <f t="shared" si="1"/>
        <v>2.65</v>
      </c>
      <c r="S16" s="36">
        <f t="shared" si="2"/>
        <v>7.5336461788299118</v>
      </c>
      <c r="T16" s="707"/>
      <c r="U16" s="707"/>
    </row>
    <row r="17" spans="1:19">
      <c r="A17" s="1165">
        <v>16</v>
      </c>
      <c r="B17" s="307">
        <v>2</v>
      </c>
      <c r="C17" s="707"/>
      <c r="D17" s="707"/>
      <c r="E17" s="707"/>
      <c r="F17" s="707"/>
      <c r="G17" s="707"/>
      <c r="H17" s="707"/>
      <c r="I17" s="707"/>
      <c r="J17" s="707"/>
      <c r="K17" s="707"/>
      <c r="L17" s="707"/>
      <c r="M17" s="707"/>
      <c r="N17" s="707"/>
      <c r="O17" s="707"/>
      <c r="P17" s="707"/>
      <c r="Q17" s="36">
        <f t="shared" si="0"/>
        <v>-2.2336461788299116</v>
      </c>
      <c r="R17" s="36">
        <f t="shared" si="1"/>
        <v>2.65</v>
      </c>
      <c r="S17" s="36">
        <f t="shared" si="2"/>
        <v>7.5336461788299118</v>
      </c>
    </row>
    <row r="18" spans="1:19">
      <c r="A18" s="1165">
        <v>17</v>
      </c>
      <c r="B18" s="307">
        <v>3</v>
      </c>
      <c r="C18" s="707"/>
      <c r="D18" s="707"/>
      <c r="E18" s="707"/>
      <c r="F18" s="707"/>
      <c r="G18" s="707"/>
      <c r="H18" s="707"/>
      <c r="I18" s="707"/>
      <c r="J18" s="707"/>
      <c r="K18" s="707"/>
      <c r="L18" s="707"/>
      <c r="M18" s="707"/>
      <c r="N18" s="707"/>
      <c r="O18" s="707"/>
      <c r="P18" s="707"/>
      <c r="Q18" s="36">
        <f t="shared" si="0"/>
        <v>-2.2336461788299116</v>
      </c>
      <c r="R18" s="36">
        <f t="shared" si="1"/>
        <v>2.65</v>
      </c>
      <c r="S18" s="36">
        <f t="shared" si="2"/>
        <v>7.5336461788299118</v>
      </c>
    </row>
    <row r="19" spans="1:19">
      <c r="A19" s="1165">
        <v>18</v>
      </c>
      <c r="B19" s="307">
        <v>4</v>
      </c>
      <c r="C19" s="707"/>
      <c r="D19" s="707"/>
      <c r="E19" s="707"/>
      <c r="F19" s="707"/>
      <c r="G19" s="707"/>
      <c r="H19" s="707"/>
      <c r="I19" s="707"/>
      <c r="J19" s="707"/>
      <c r="K19" s="707"/>
      <c r="L19" s="707"/>
      <c r="M19" s="707"/>
      <c r="N19" s="707"/>
      <c r="O19" s="707"/>
      <c r="P19" s="707"/>
      <c r="Q19" s="36">
        <f t="shared" si="0"/>
        <v>-2.2336461788299116</v>
      </c>
      <c r="R19" s="36">
        <f t="shared" si="1"/>
        <v>2.65</v>
      </c>
      <c r="S19" s="36">
        <f t="shared" si="2"/>
        <v>7.5336461788299118</v>
      </c>
    </row>
    <row r="20" spans="1:19">
      <c r="A20" s="1165">
        <v>19</v>
      </c>
      <c r="B20" s="307">
        <v>3</v>
      </c>
      <c r="C20" s="707"/>
      <c r="D20" s="707"/>
      <c r="E20" s="707"/>
      <c r="F20" s="707"/>
      <c r="G20" s="707"/>
      <c r="H20" s="707"/>
      <c r="I20" s="707"/>
      <c r="J20" s="707"/>
      <c r="K20" s="707"/>
      <c r="L20" s="707"/>
      <c r="M20" s="707"/>
      <c r="N20" s="707"/>
      <c r="O20" s="707"/>
      <c r="P20" s="707"/>
      <c r="Q20" s="36">
        <f t="shared" si="0"/>
        <v>-2.2336461788299116</v>
      </c>
      <c r="R20" s="36">
        <f t="shared" si="1"/>
        <v>2.65</v>
      </c>
      <c r="S20" s="36">
        <f t="shared" si="2"/>
        <v>7.5336461788299118</v>
      </c>
    </row>
    <row r="21" spans="1:19">
      <c r="A21" s="1165">
        <v>20</v>
      </c>
      <c r="B21" s="307">
        <v>2</v>
      </c>
      <c r="C21" s="707"/>
      <c r="D21" s="707"/>
      <c r="E21" s="707"/>
      <c r="F21" s="707"/>
      <c r="G21" s="707"/>
      <c r="H21" s="707"/>
      <c r="I21" s="707"/>
      <c r="J21" s="707"/>
      <c r="K21" s="707"/>
      <c r="L21" s="707"/>
      <c r="M21" s="707"/>
      <c r="N21" s="707"/>
      <c r="O21" s="707"/>
      <c r="P21" s="707"/>
      <c r="Q21" s="36">
        <f t="shared" si="0"/>
        <v>-2.2336461788299116</v>
      </c>
      <c r="R21" s="36">
        <f t="shared" si="1"/>
        <v>2.65</v>
      </c>
      <c r="S21" s="36">
        <f t="shared" si="2"/>
        <v>7.5336461788299118</v>
      </c>
    </row>
    <row r="22" spans="1:19">
      <c r="A22" s="1165">
        <v>21</v>
      </c>
      <c r="B22" s="307">
        <v>4</v>
      </c>
      <c r="C22" s="707"/>
      <c r="D22" s="707"/>
      <c r="E22" s="707"/>
      <c r="F22" s="707"/>
      <c r="G22" s="707"/>
      <c r="H22" s="707"/>
      <c r="I22" s="707"/>
      <c r="J22" s="707"/>
      <c r="K22" s="707"/>
      <c r="L22" s="707"/>
      <c r="M22" s="707"/>
      <c r="N22" s="707"/>
      <c r="O22" s="707"/>
      <c r="P22" s="707"/>
      <c r="Q22" s="36">
        <f t="shared" si="0"/>
        <v>-2.2336461788299116</v>
      </c>
      <c r="R22" s="36">
        <f t="shared" si="1"/>
        <v>2.65</v>
      </c>
      <c r="S22" s="36">
        <f t="shared" si="2"/>
        <v>7.5336461788299118</v>
      </c>
    </row>
    <row r="23" spans="1:19">
      <c r="A23" s="1165">
        <v>22</v>
      </c>
      <c r="B23" s="307">
        <v>6</v>
      </c>
      <c r="C23" s="707"/>
      <c r="D23" s="707"/>
      <c r="E23" s="707"/>
      <c r="F23" s="707"/>
      <c r="G23" s="707"/>
      <c r="H23" s="707"/>
      <c r="I23" s="707"/>
      <c r="J23" s="707"/>
      <c r="K23" s="707"/>
      <c r="L23" s="707"/>
      <c r="M23" s="707"/>
      <c r="N23" s="707"/>
      <c r="O23" s="707"/>
      <c r="P23" s="707"/>
      <c r="Q23" s="36">
        <f t="shared" si="0"/>
        <v>-2.2336461788299116</v>
      </c>
      <c r="R23" s="36">
        <f t="shared" si="1"/>
        <v>2.65</v>
      </c>
      <c r="S23" s="36">
        <f t="shared" si="2"/>
        <v>7.5336461788299118</v>
      </c>
    </row>
    <row r="24" spans="1:19">
      <c r="A24" s="1165">
        <v>23</v>
      </c>
      <c r="B24" s="307">
        <v>4</v>
      </c>
      <c r="C24" s="707"/>
      <c r="D24" s="707"/>
      <c r="E24" s="707"/>
      <c r="F24" s="707"/>
      <c r="G24" s="707"/>
      <c r="H24" s="707"/>
      <c r="I24" s="707"/>
      <c r="J24" s="707"/>
      <c r="K24" s="707"/>
      <c r="L24" s="707"/>
      <c r="M24" s="707"/>
      <c r="N24" s="707"/>
      <c r="O24" s="707"/>
      <c r="P24" s="707"/>
      <c r="Q24" s="36">
        <f t="shared" si="0"/>
        <v>-2.2336461788299116</v>
      </c>
      <c r="R24" s="36">
        <f t="shared" si="1"/>
        <v>2.65</v>
      </c>
      <c r="S24" s="36">
        <f t="shared" si="2"/>
        <v>7.5336461788299118</v>
      </c>
    </row>
    <row r="25" spans="1:19">
      <c r="A25" s="1165">
        <v>24</v>
      </c>
      <c r="B25" s="307">
        <v>3</v>
      </c>
      <c r="C25" s="707"/>
      <c r="D25" s="707"/>
      <c r="E25" s="707"/>
      <c r="F25" s="707"/>
      <c r="G25" s="707"/>
      <c r="H25" s="707"/>
      <c r="I25" s="707"/>
      <c r="J25" s="707"/>
      <c r="K25" s="707"/>
      <c r="L25" s="707"/>
      <c r="M25" s="707"/>
      <c r="N25" s="707"/>
      <c r="O25" s="707"/>
      <c r="P25" s="707"/>
      <c r="Q25" s="36">
        <f t="shared" si="0"/>
        <v>-2.2336461788299116</v>
      </c>
      <c r="R25" s="36">
        <f t="shared" si="1"/>
        <v>2.65</v>
      </c>
      <c r="S25" s="36">
        <f t="shared" si="2"/>
        <v>7.5336461788299118</v>
      </c>
    </row>
    <row r="26" spans="1:19">
      <c r="A26" s="1165">
        <v>25</v>
      </c>
      <c r="B26" s="307">
        <v>2</v>
      </c>
      <c r="C26" s="707"/>
      <c r="D26" s="707"/>
      <c r="E26" s="707"/>
      <c r="F26" s="707"/>
      <c r="G26" s="707"/>
      <c r="H26" s="707"/>
      <c r="I26" s="707"/>
      <c r="J26" s="707"/>
      <c r="K26" s="707"/>
      <c r="L26" s="707"/>
      <c r="M26" s="707"/>
      <c r="N26" s="707"/>
      <c r="O26" s="707"/>
      <c r="P26" s="707"/>
      <c r="Q26" s="36">
        <f t="shared" si="0"/>
        <v>-2.2336461788299116</v>
      </c>
      <c r="R26" s="36">
        <f t="shared" si="1"/>
        <v>2.65</v>
      </c>
      <c r="S26" s="36">
        <f t="shared" si="2"/>
        <v>7.5336461788299118</v>
      </c>
    </row>
    <row r="27" spans="1:19">
      <c r="A27" s="1165">
        <v>26</v>
      </c>
      <c r="B27" s="307">
        <v>3</v>
      </c>
      <c r="C27" s="707"/>
      <c r="D27" s="707"/>
      <c r="E27" s="707"/>
      <c r="F27" s="707"/>
      <c r="G27" s="707"/>
      <c r="H27" s="707"/>
      <c r="I27" s="707"/>
      <c r="J27" s="707"/>
      <c r="K27" s="707"/>
      <c r="L27" s="707"/>
      <c r="M27" s="707"/>
      <c r="N27" s="707"/>
      <c r="O27" s="707"/>
      <c r="P27" s="707"/>
      <c r="Q27" s="36">
        <f t="shared" si="0"/>
        <v>-2.2336461788299116</v>
      </c>
      <c r="R27" s="36">
        <f t="shared" si="1"/>
        <v>2.65</v>
      </c>
      <c r="S27" s="36">
        <f t="shared" si="2"/>
        <v>7.5336461788299118</v>
      </c>
    </row>
    <row r="28" spans="1:19">
      <c r="A28" s="1165">
        <v>27</v>
      </c>
      <c r="B28" s="307">
        <v>4</v>
      </c>
      <c r="C28" s="707"/>
      <c r="D28" s="707"/>
      <c r="E28" s="707"/>
      <c r="F28" s="707"/>
      <c r="G28" s="707"/>
      <c r="H28" s="707"/>
      <c r="I28" s="707"/>
      <c r="J28" s="707"/>
      <c r="K28" s="707"/>
      <c r="L28" s="707"/>
      <c r="M28" s="707"/>
      <c r="N28" s="707"/>
      <c r="O28" s="707"/>
      <c r="P28" s="707"/>
      <c r="Q28" s="36">
        <f t="shared" si="0"/>
        <v>-2.2336461788299116</v>
      </c>
      <c r="R28" s="36">
        <f t="shared" si="1"/>
        <v>2.65</v>
      </c>
      <c r="S28" s="36">
        <f t="shared" si="2"/>
        <v>7.5336461788299118</v>
      </c>
    </row>
    <row r="29" spans="1:19">
      <c r="A29" s="1165">
        <v>28</v>
      </c>
      <c r="B29" s="307">
        <v>2</v>
      </c>
      <c r="C29" s="707"/>
      <c r="D29" s="707"/>
      <c r="E29" s="707"/>
      <c r="F29" s="707"/>
      <c r="G29" s="707"/>
      <c r="H29" s="707"/>
      <c r="I29" s="707"/>
      <c r="J29" s="707"/>
      <c r="K29" s="707"/>
      <c r="L29" s="707"/>
      <c r="M29" s="707"/>
      <c r="N29" s="707"/>
      <c r="O29" s="707"/>
      <c r="P29" s="707"/>
      <c r="Q29" s="36">
        <f t="shared" si="0"/>
        <v>-2.2336461788299116</v>
      </c>
      <c r="R29" s="36">
        <f t="shared" si="1"/>
        <v>2.65</v>
      </c>
      <c r="S29" s="36">
        <f t="shared" si="2"/>
        <v>7.5336461788299118</v>
      </c>
    </row>
    <row r="30" spans="1:19">
      <c r="A30" s="1165">
        <v>29</v>
      </c>
      <c r="B30" s="307">
        <v>3</v>
      </c>
      <c r="C30" s="707"/>
      <c r="D30" s="707"/>
      <c r="E30" s="707"/>
      <c r="F30" s="707"/>
      <c r="G30" s="707"/>
      <c r="H30" s="707"/>
      <c r="I30" s="707"/>
      <c r="J30" s="707"/>
      <c r="K30" s="707"/>
      <c r="L30" s="707"/>
      <c r="M30" s="707"/>
      <c r="N30" s="707"/>
      <c r="O30" s="707"/>
      <c r="P30" s="707"/>
      <c r="Q30" s="36">
        <f t="shared" si="0"/>
        <v>-2.2336461788299116</v>
      </c>
      <c r="R30" s="36">
        <f t="shared" si="1"/>
        <v>2.65</v>
      </c>
      <c r="S30" s="36">
        <f t="shared" si="2"/>
        <v>7.5336461788299118</v>
      </c>
    </row>
    <row r="31" spans="1:19">
      <c r="A31" s="1165">
        <v>30</v>
      </c>
      <c r="B31" s="307">
        <v>4</v>
      </c>
      <c r="C31" s="707"/>
      <c r="D31" s="707"/>
      <c r="E31" s="707"/>
      <c r="F31" s="707"/>
      <c r="G31" s="707"/>
      <c r="H31" s="707"/>
      <c r="I31" s="707"/>
      <c r="J31" s="707"/>
      <c r="K31" s="707"/>
      <c r="L31" s="707"/>
      <c r="M31" s="707"/>
      <c r="N31" s="707"/>
      <c r="O31" s="707"/>
      <c r="P31" s="707"/>
      <c r="Q31" s="36">
        <f t="shared" si="0"/>
        <v>-2.2336461788299116</v>
      </c>
      <c r="R31" s="36">
        <f t="shared" si="1"/>
        <v>2.65</v>
      </c>
      <c r="S31" s="36">
        <f t="shared" si="2"/>
        <v>7.5336461788299118</v>
      </c>
    </row>
    <row r="32" spans="1:19">
      <c r="A32" s="1165">
        <v>31</v>
      </c>
      <c r="B32" s="307">
        <v>2</v>
      </c>
      <c r="C32" s="707"/>
      <c r="D32" s="707"/>
      <c r="E32" s="707"/>
      <c r="F32" s="707"/>
      <c r="G32" s="707"/>
      <c r="H32" s="707"/>
      <c r="I32" s="707"/>
      <c r="J32" s="707"/>
      <c r="K32" s="707"/>
      <c r="L32" s="707"/>
      <c r="M32" s="707"/>
      <c r="N32" s="707"/>
      <c r="O32" s="707"/>
      <c r="P32" s="707"/>
      <c r="Q32" s="36">
        <f t="shared" si="0"/>
        <v>-2.2336461788299116</v>
      </c>
      <c r="R32" s="36">
        <f t="shared" si="1"/>
        <v>2.65</v>
      </c>
      <c r="S32" s="36">
        <f t="shared" si="2"/>
        <v>7.5336461788299118</v>
      </c>
    </row>
    <row r="33" spans="1:19">
      <c r="A33" s="1165">
        <v>32</v>
      </c>
      <c r="B33" s="307">
        <v>3</v>
      </c>
      <c r="C33" s="707"/>
      <c r="D33" s="707"/>
      <c r="E33" s="707"/>
      <c r="F33" s="707"/>
      <c r="G33" s="707"/>
      <c r="H33" s="707"/>
      <c r="I33" s="707"/>
      <c r="J33" s="707"/>
      <c r="K33" s="707"/>
      <c r="L33" s="707"/>
      <c r="M33" s="707"/>
      <c r="N33" s="707"/>
      <c r="O33" s="707"/>
      <c r="P33" s="707"/>
      <c r="Q33" s="36">
        <f t="shared" si="0"/>
        <v>-2.2336461788299116</v>
      </c>
      <c r="R33" s="36">
        <f t="shared" si="1"/>
        <v>2.65</v>
      </c>
      <c r="S33" s="36">
        <f t="shared" si="2"/>
        <v>7.5336461788299118</v>
      </c>
    </row>
    <row r="34" spans="1:19">
      <c r="A34" s="1165">
        <v>33</v>
      </c>
      <c r="B34" s="307">
        <v>3</v>
      </c>
      <c r="C34" s="707"/>
      <c r="D34" s="707"/>
      <c r="E34" s="707"/>
      <c r="F34" s="707"/>
      <c r="G34" s="707"/>
      <c r="H34" s="707"/>
      <c r="I34" s="707"/>
      <c r="J34" s="707"/>
      <c r="K34" s="707"/>
      <c r="L34" s="707"/>
      <c r="M34" s="707"/>
      <c r="N34" s="707"/>
      <c r="O34" s="707"/>
      <c r="P34" s="707"/>
      <c r="Q34" s="36">
        <f t="shared" si="0"/>
        <v>-2.2336461788299116</v>
      </c>
      <c r="R34" s="36">
        <f t="shared" si="1"/>
        <v>2.65</v>
      </c>
      <c r="S34" s="36">
        <f t="shared" si="2"/>
        <v>7.5336461788299118</v>
      </c>
    </row>
    <row r="35" spans="1:19">
      <c r="A35" s="1165">
        <v>34</v>
      </c>
      <c r="B35" s="307">
        <v>2</v>
      </c>
      <c r="C35" s="707"/>
      <c r="D35" s="707"/>
      <c r="E35" s="707"/>
      <c r="F35" s="707"/>
      <c r="G35" s="707"/>
      <c r="H35" s="707"/>
      <c r="I35" s="707"/>
      <c r="J35" s="707"/>
      <c r="K35" s="707"/>
      <c r="L35" s="707"/>
      <c r="M35" s="707"/>
      <c r="N35" s="707"/>
      <c r="O35" s="707"/>
      <c r="P35" s="707"/>
      <c r="Q35" s="36">
        <f t="shared" si="0"/>
        <v>-2.2336461788299116</v>
      </c>
      <c r="R35" s="36">
        <f t="shared" si="1"/>
        <v>2.65</v>
      </c>
      <c r="S35" s="36">
        <f t="shared" si="2"/>
        <v>7.5336461788299118</v>
      </c>
    </row>
    <row r="36" spans="1:19">
      <c r="A36" s="1165"/>
      <c r="B36" s="307"/>
      <c r="C36" s="707"/>
      <c r="D36" s="707"/>
      <c r="E36" s="707"/>
      <c r="F36" s="707"/>
      <c r="G36" s="707"/>
      <c r="H36" s="707"/>
      <c r="I36" s="707"/>
      <c r="J36" s="707"/>
      <c r="K36" s="707"/>
      <c r="L36" s="707"/>
      <c r="M36" s="707"/>
      <c r="N36" s="707"/>
      <c r="O36" s="707"/>
      <c r="P36" s="707"/>
      <c r="Q36" s="36">
        <f t="shared" si="0"/>
        <v>-2.2336461788299116</v>
      </c>
      <c r="R36" s="36">
        <f t="shared" si="1"/>
        <v>2.65</v>
      </c>
      <c r="S36" s="36">
        <f t="shared" si="2"/>
        <v>7.5336461788299118</v>
      </c>
    </row>
    <row r="37" spans="1:19">
      <c r="A37" s="1165"/>
      <c r="B37" s="307"/>
      <c r="C37" s="707"/>
      <c r="D37" s="707"/>
      <c r="E37" s="707"/>
      <c r="F37" s="707"/>
      <c r="G37" s="707"/>
      <c r="H37" s="707"/>
      <c r="I37" s="707"/>
      <c r="J37" s="707"/>
      <c r="K37" s="707"/>
      <c r="L37" s="707"/>
      <c r="M37" s="707"/>
      <c r="N37" s="707"/>
      <c r="O37" s="707"/>
      <c r="P37" s="707"/>
      <c r="Q37" s="36">
        <f t="shared" ref="Q37:Q100" si="3">Q36</f>
        <v>-2.2336461788299116</v>
      </c>
      <c r="R37" s="36">
        <f t="shared" ref="R37:R100" si="4">R36</f>
        <v>2.65</v>
      </c>
      <c r="S37" s="36">
        <f t="shared" ref="S37:S100" si="5">S36</f>
        <v>7.5336461788299118</v>
      </c>
    </row>
    <row r="38" spans="1:19">
      <c r="A38" s="1165"/>
      <c r="B38" s="307"/>
      <c r="C38" s="707"/>
      <c r="D38" s="707"/>
      <c r="E38" s="707"/>
      <c r="F38" s="707"/>
      <c r="G38" s="707"/>
      <c r="H38" s="707"/>
      <c r="I38" s="707"/>
      <c r="J38" s="707"/>
      <c r="K38" s="707"/>
      <c r="L38" s="707"/>
      <c r="M38" s="707"/>
      <c r="N38" s="707"/>
      <c r="O38" s="707"/>
      <c r="P38" s="707"/>
      <c r="Q38" s="36">
        <f t="shared" si="3"/>
        <v>-2.2336461788299116</v>
      </c>
      <c r="R38" s="36">
        <f t="shared" si="4"/>
        <v>2.65</v>
      </c>
      <c r="S38" s="36">
        <f t="shared" si="5"/>
        <v>7.5336461788299118</v>
      </c>
    </row>
    <row r="39" spans="1:19">
      <c r="A39" s="1165"/>
      <c r="B39" s="307"/>
      <c r="C39" s="707"/>
      <c r="D39" s="707"/>
      <c r="E39" s="707"/>
      <c r="F39" s="707"/>
      <c r="G39" s="707"/>
      <c r="H39" s="707"/>
      <c r="I39" s="707"/>
      <c r="J39" s="707"/>
      <c r="K39" s="707"/>
      <c r="L39" s="707"/>
      <c r="M39" s="707"/>
      <c r="N39" s="707"/>
      <c r="O39" s="707"/>
      <c r="P39" s="707"/>
      <c r="Q39" s="36">
        <f t="shared" si="3"/>
        <v>-2.2336461788299116</v>
      </c>
      <c r="R39" s="36">
        <f t="shared" si="4"/>
        <v>2.65</v>
      </c>
      <c r="S39" s="36">
        <f t="shared" si="5"/>
        <v>7.5336461788299118</v>
      </c>
    </row>
    <row r="40" spans="1:19">
      <c r="A40" s="1165"/>
      <c r="B40" s="307"/>
      <c r="C40" s="707"/>
      <c r="D40" s="707"/>
      <c r="E40" s="707"/>
      <c r="F40" s="707"/>
      <c r="G40" s="707"/>
      <c r="H40" s="707"/>
      <c r="I40" s="707"/>
      <c r="J40" s="707"/>
      <c r="K40" s="707"/>
      <c r="L40" s="707"/>
      <c r="M40" s="707"/>
      <c r="N40" s="707"/>
      <c r="O40" s="707"/>
      <c r="P40" s="707"/>
      <c r="Q40" s="36">
        <f t="shared" si="3"/>
        <v>-2.2336461788299116</v>
      </c>
      <c r="R40" s="36">
        <f t="shared" si="4"/>
        <v>2.65</v>
      </c>
      <c r="S40" s="36">
        <f t="shared" si="5"/>
        <v>7.5336461788299118</v>
      </c>
    </row>
    <row r="41" spans="1:19">
      <c r="A41" s="1165"/>
      <c r="B41" s="307"/>
      <c r="C41" s="707"/>
      <c r="D41" s="707"/>
      <c r="E41" s="707"/>
      <c r="F41" s="707"/>
      <c r="G41" s="707"/>
      <c r="H41" s="707"/>
      <c r="I41" s="707"/>
      <c r="J41" s="707"/>
      <c r="K41" s="707"/>
      <c r="L41" s="707"/>
      <c r="M41" s="707"/>
      <c r="N41" s="707"/>
      <c r="O41" s="707"/>
      <c r="P41" s="707"/>
      <c r="Q41" s="36">
        <f t="shared" si="3"/>
        <v>-2.2336461788299116</v>
      </c>
      <c r="R41" s="36">
        <f t="shared" si="4"/>
        <v>2.65</v>
      </c>
      <c r="S41" s="36">
        <f t="shared" si="5"/>
        <v>7.5336461788299118</v>
      </c>
    </row>
    <row r="42" spans="1:19">
      <c r="A42" s="1165"/>
      <c r="B42" s="307"/>
      <c r="C42" s="707"/>
      <c r="D42" s="707"/>
      <c r="E42" s="707"/>
      <c r="F42" s="707"/>
      <c r="G42" s="707"/>
      <c r="H42" s="707"/>
      <c r="I42" s="707"/>
      <c r="J42" s="707"/>
      <c r="K42" s="707"/>
      <c r="L42" s="707"/>
      <c r="M42" s="707"/>
      <c r="N42" s="707"/>
      <c r="O42" s="707"/>
      <c r="P42" s="707"/>
      <c r="Q42" s="36">
        <f t="shared" si="3"/>
        <v>-2.2336461788299116</v>
      </c>
      <c r="R42" s="36">
        <f t="shared" si="4"/>
        <v>2.65</v>
      </c>
      <c r="S42" s="36">
        <f t="shared" si="5"/>
        <v>7.5336461788299118</v>
      </c>
    </row>
    <row r="43" spans="1:19">
      <c r="A43" s="1165"/>
      <c r="B43" s="307"/>
      <c r="C43" s="707"/>
      <c r="D43" s="707"/>
      <c r="E43" s="707"/>
      <c r="F43" s="707"/>
      <c r="G43" s="707"/>
      <c r="H43" s="707"/>
      <c r="I43" s="707"/>
      <c r="J43" s="707"/>
      <c r="K43" s="707"/>
      <c r="L43" s="707"/>
      <c r="M43" s="707"/>
      <c r="N43" s="707"/>
      <c r="O43" s="707"/>
      <c r="P43" s="707"/>
      <c r="Q43" s="36">
        <f t="shared" si="3"/>
        <v>-2.2336461788299116</v>
      </c>
      <c r="R43" s="36">
        <f t="shared" si="4"/>
        <v>2.65</v>
      </c>
      <c r="S43" s="36">
        <f t="shared" si="5"/>
        <v>7.5336461788299118</v>
      </c>
    </row>
    <row r="44" spans="1:19">
      <c r="A44" s="1165"/>
      <c r="B44" s="307"/>
      <c r="C44" s="707"/>
      <c r="D44" s="707"/>
      <c r="E44" s="707"/>
      <c r="F44" s="707"/>
      <c r="G44" s="707"/>
      <c r="H44" s="707"/>
      <c r="I44" s="707"/>
      <c r="J44" s="707"/>
      <c r="K44" s="707"/>
      <c r="L44" s="707"/>
      <c r="M44" s="707"/>
      <c r="N44" s="707"/>
      <c r="O44" s="707"/>
      <c r="P44" s="707"/>
      <c r="Q44" s="36">
        <f t="shared" si="3"/>
        <v>-2.2336461788299116</v>
      </c>
      <c r="R44" s="36">
        <f t="shared" si="4"/>
        <v>2.65</v>
      </c>
      <c r="S44" s="36">
        <f t="shared" si="5"/>
        <v>7.5336461788299118</v>
      </c>
    </row>
    <row r="45" spans="1:19">
      <c r="A45" s="1165"/>
      <c r="B45" s="307"/>
      <c r="C45" s="707"/>
      <c r="D45" s="707"/>
      <c r="E45" s="707"/>
      <c r="F45" s="707"/>
      <c r="G45" s="707"/>
      <c r="H45" s="707"/>
      <c r="I45" s="707"/>
      <c r="J45" s="707"/>
      <c r="K45" s="707"/>
      <c r="L45" s="707"/>
      <c r="M45" s="707"/>
      <c r="N45" s="707"/>
      <c r="O45" s="707"/>
      <c r="P45" s="707"/>
      <c r="Q45" s="36">
        <f t="shared" si="3"/>
        <v>-2.2336461788299116</v>
      </c>
      <c r="R45" s="36">
        <f t="shared" si="4"/>
        <v>2.65</v>
      </c>
      <c r="S45" s="36">
        <f t="shared" si="5"/>
        <v>7.5336461788299118</v>
      </c>
    </row>
    <row r="46" spans="1:19">
      <c r="A46" s="1165"/>
      <c r="B46" s="307"/>
      <c r="C46" s="707"/>
      <c r="D46" s="707"/>
      <c r="E46" s="707"/>
      <c r="F46" s="707"/>
      <c r="G46" s="707"/>
      <c r="H46" s="707"/>
      <c r="I46" s="707"/>
      <c r="J46" s="707"/>
      <c r="K46" s="707"/>
      <c r="L46" s="707"/>
      <c r="M46" s="707"/>
      <c r="N46" s="707"/>
      <c r="O46" s="707"/>
      <c r="P46" s="707"/>
      <c r="Q46" s="36">
        <f t="shared" si="3"/>
        <v>-2.2336461788299116</v>
      </c>
      <c r="R46" s="36">
        <f t="shared" si="4"/>
        <v>2.65</v>
      </c>
      <c r="S46" s="36">
        <f t="shared" si="5"/>
        <v>7.5336461788299118</v>
      </c>
    </row>
    <row r="47" spans="1:19">
      <c r="A47" s="1165"/>
      <c r="B47" s="307"/>
      <c r="C47" s="707"/>
      <c r="D47" s="707"/>
      <c r="E47" s="707"/>
      <c r="F47" s="707"/>
      <c r="G47" s="707"/>
      <c r="H47" s="707"/>
      <c r="I47" s="707"/>
      <c r="J47" s="707"/>
      <c r="K47" s="707"/>
      <c r="L47" s="707"/>
      <c r="M47" s="707"/>
      <c r="N47" s="707"/>
      <c r="O47" s="707"/>
      <c r="P47" s="707"/>
      <c r="Q47" s="36">
        <f t="shared" si="3"/>
        <v>-2.2336461788299116</v>
      </c>
      <c r="R47" s="36">
        <f t="shared" si="4"/>
        <v>2.65</v>
      </c>
      <c r="S47" s="36">
        <f t="shared" si="5"/>
        <v>7.5336461788299118</v>
      </c>
    </row>
    <row r="48" spans="1:19">
      <c r="A48" s="1165"/>
      <c r="B48" s="307"/>
      <c r="C48" s="707"/>
      <c r="D48" s="707"/>
      <c r="E48" s="707"/>
      <c r="F48" s="707"/>
      <c r="G48" s="707"/>
      <c r="H48" s="707"/>
      <c r="I48" s="707"/>
      <c r="J48" s="707"/>
      <c r="K48" s="707"/>
      <c r="L48" s="707"/>
      <c r="M48" s="707"/>
      <c r="N48" s="707"/>
      <c r="O48" s="707"/>
      <c r="P48" s="707"/>
      <c r="Q48" s="36">
        <f t="shared" si="3"/>
        <v>-2.2336461788299116</v>
      </c>
      <c r="R48" s="36">
        <f t="shared" si="4"/>
        <v>2.65</v>
      </c>
      <c r="S48" s="36">
        <f t="shared" si="5"/>
        <v>7.5336461788299118</v>
      </c>
    </row>
    <row r="49" spans="2:19">
      <c r="B49" s="307"/>
      <c r="C49" s="707"/>
      <c r="D49" s="707"/>
      <c r="E49" s="707"/>
      <c r="F49" s="707"/>
      <c r="G49" s="707"/>
      <c r="H49" s="707"/>
      <c r="I49" s="707"/>
      <c r="J49" s="707"/>
      <c r="K49" s="707"/>
      <c r="L49" s="707"/>
      <c r="M49" s="707"/>
      <c r="N49" s="707"/>
      <c r="O49" s="707"/>
      <c r="P49" s="707"/>
      <c r="Q49" s="36">
        <f t="shared" si="3"/>
        <v>-2.2336461788299116</v>
      </c>
      <c r="R49" s="36">
        <f t="shared" si="4"/>
        <v>2.65</v>
      </c>
      <c r="S49" s="36">
        <f t="shared" si="5"/>
        <v>7.5336461788299118</v>
      </c>
    </row>
    <row r="50" spans="2:19">
      <c r="B50" s="307"/>
      <c r="C50" s="707"/>
      <c r="D50" s="707"/>
      <c r="E50" s="707"/>
      <c r="F50" s="707"/>
      <c r="G50" s="707"/>
      <c r="H50" s="707"/>
      <c r="I50" s="707"/>
      <c r="J50" s="707"/>
      <c r="K50" s="707"/>
      <c r="L50" s="707"/>
      <c r="M50" s="707"/>
      <c r="N50" s="707"/>
      <c r="O50" s="707"/>
      <c r="P50" s="707"/>
      <c r="Q50" s="36">
        <f t="shared" si="3"/>
        <v>-2.2336461788299116</v>
      </c>
      <c r="R50" s="36">
        <f t="shared" si="4"/>
        <v>2.65</v>
      </c>
      <c r="S50" s="36">
        <f t="shared" si="5"/>
        <v>7.5336461788299118</v>
      </c>
    </row>
    <row r="51" spans="2:19">
      <c r="B51" s="307"/>
      <c r="C51" s="707"/>
      <c r="D51" s="707"/>
      <c r="E51" s="707"/>
      <c r="F51" s="707"/>
      <c r="G51" s="707"/>
      <c r="H51" s="707"/>
      <c r="I51" s="707"/>
      <c r="J51" s="707"/>
      <c r="K51" s="707"/>
      <c r="L51" s="707"/>
      <c r="M51" s="707"/>
      <c r="N51" s="707"/>
      <c r="O51" s="707"/>
      <c r="P51" s="707"/>
      <c r="Q51" s="36">
        <f t="shared" si="3"/>
        <v>-2.2336461788299116</v>
      </c>
      <c r="R51" s="36">
        <f t="shared" si="4"/>
        <v>2.65</v>
      </c>
      <c r="S51" s="36">
        <f t="shared" si="5"/>
        <v>7.5336461788299118</v>
      </c>
    </row>
    <row r="52" spans="2:19">
      <c r="B52" s="307"/>
      <c r="C52" s="707"/>
      <c r="D52" s="707"/>
      <c r="E52" s="707"/>
      <c r="F52" s="707"/>
      <c r="G52" s="707"/>
      <c r="H52" s="707"/>
      <c r="I52" s="707"/>
      <c r="J52" s="707"/>
      <c r="K52" s="707"/>
      <c r="L52" s="707"/>
      <c r="M52" s="707"/>
      <c r="N52" s="707"/>
      <c r="O52" s="707"/>
      <c r="P52" s="707"/>
      <c r="Q52" s="36">
        <f t="shared" si="3"/>
        <v>-2.2336461788299116</v>
      </c>
      <c r="R52" s="36">
        <f t="shared" si="4"/>
        <v>2.65</v>
      </c>
      <c r="S52" s="36">
        <f t="shared" si="5"/>
        <v>7.5336461788299118</v>
      </c>
    </row>
    <row r="53" spans="2:19">
      <c r="B53" s="307"/>
      <c r="C53" s="707"/>
      <c r="D53" s="707"/>
      <c r="E53" s="707"/>
      <c r="F53" s="707"/>
      <c r="G53" s="707"/>
      <c r="H53" s="707"/>
      <c r="I53" s="707"/>
      <c r="J53" s="707"/>
      <c r="K53" s="707"/>
      <c r="L53" s="707"/>
      <c r="M53" s="707"/>
      <c r="N53" s="707"/>
      <c r="O53" s="707"/>
      <c r="P53" s="707"/>
      <c r="Q53" s="36">
        <f t="shared" si="3"/>
        <v>-2.2336461788299116</v>
      </c>
      <c r="R53" s="36">
        <f t="shared" si="4"/>
        <v>2.65</v>
      </c>
      <c r="S53" s="36">
        <f t="shared" si="5"/>
        <v>7.5336461788299118</v>
      </c>
    </row>
    <row r="54" spans="2:19">
      <c r="B54" s="307"/>
      <c r="C54" s="707"/>
      <c r="D54" s="707"/>
      <c r="E54" s="707"/>
      <c r="F54" s="707"/>
      <c r="G54" s="707"/>
      <c r="H54" s="707"/>
      <c r="I54" s="707"/>
      <c r="J54" s="707"/>
      <c r="K54" s="707"/>
      <c r="L54" s="707"/>
      <c r="M54" s="707"/>
      <c r="N54" s="707"/>
      <c r="O54" s="707"/>
      <c r="P54" s="707"/>
      <c r="Q54" s="36">
        <f t="shared" si="3"/>
        <v>-2.2336461788299116</v>
      </c>
      <c r="R54" s="36">
        <f t="shared" si="4"/>
        <v>2.65</v>
      </c>
      <c r="S54" s="36">
        <f t="shared" si="5"/>
        <v>7.5336461788299118</v>
      </c>
    </row>
    <row r="55" spans="2:19">
      <c r="B55" s="307"/>
      <c r="C55" s="707"/>
      <c r="D55" s="707"/>
      <c r="E55" s="707"/>
      <c r="F55" s="707"/>
      <c r="G55" s="707"/>
      <c r="H55" s="707"/>
      <c r="I55" s="707"/>
      <c r="J55" s="707"/>
      <c r="K55" s="707"/>
      <c r="L55" s="707"/>
      <c r="M55" s="707"/>
      <c r="N55" s="707"/>
      <c r="O55" s="707"/>
      <c r="P55" s="707"/>
      <c r="Q55" s="36">
        <f t="shared" si="3"/>
        <v>-2.2336461788299116</v>
      </c>
      <c r="R55" s="36">
        <f t="shared" si="4"/>
        <v>2.65</v>
      </c>
      <c r="S55" s="36">
        <f t="shared" si="5"/>
        <v>7.5336461788299118</v>
      </c>
    </row>
    <row r="56" spans="2:19">
      <c r="B56" s="307"/>
      <c r="C56" s="707"/>
      <c r="D56" s="707"/>
      <c r="E56" s="707"/>
      <c r="F56" s="707"/>
      <c r="G56" s="707"/>
      <c r="H56" s="707"/>
      <c r="I56" s="707"/>
      <c r="J56" s="707"/>
      <c r="K56" s="707"/>
      <c r="L56" s="707"/>
      <c r="M56" s="707"/>
      <c r="N56" s="707"/>
      <c r="O56" s="707"/>
      <c r="P56" s="707"/>
      <c r="Q56" s="36">
        <f t="shared" si="3"/>
        <v>-2.2336461788299116</v>
      </c>
      <c r="R56" s="36">
        <f t="shared" si="4"/>
        <v>2.65</v>
      </c>
      <c r="S56" s="36">
        <f t="shared" si="5"/>
        <v>7.5336461788299118</v>
      </c>
    </row>
    <row r="57" spans="2:19">
      <c r="B57" s="307"/>
      <c r="C57" s="707"/>
      <c r="D57" s="707"/>
      <c r="E57" s="707"/>
      <c r="F57" s="707"/>
      <c r="G57" s="707"/>
      <c r="H57" s="707"/>
      <c r="I57" s="707"/>
      <c r="J57" s="707"/>
      <c r="K57" s="707"/>
      <c r="L57" s="707"/>
      <c r="M57" s="707"/>
      <c r="N57" s="707"/>
      <c r="O57" s="707"/>
      <c r="P57" s="707"/>
      <c r="Q57" s="36">
        <f t="shared" si="3"/>
        <v>-2.2336461788299116</v>
      </c>
      <c r="R57" s="36">
        <f t="shared" si="4"/>
        <v>2.65</v>
      </c>
      <c r="S57" s="36">
        <f t="shared" si="5"/>
        <v>7.5336461788299118</v>
      </c>
    </row>
    <row r="58" spans="2:19">
      <c r="B58" s="307"/>
      <c r="C58" s="707"/>
      <c r="D58" s="707"/>
      <c r="E58" s="707"/>
      <c r="F58" s="707"/>
      <c r="G58" s="707"/>
      <c r="H58" s="707"/>
      <c r="I58" s="707"/>
      <c r="J58" s="707"/>
      <c r="K58" s="707"/>
      <c r="L58" s="707"/>
      <c r="M58" s="707"/>
      <c r="N58" s="707"/>
      <c r="O58" s="707"/>
      <c r="P58" s="707"/>
      <c r="Q58" s="36">
        <f t="shared" si="3"/>
        <v>-2.2336461788299116</v>
      </c>
      <c r="R58" s="36">
        <f t="shared" si="4"/>
        <v>2.65</v>
      </c>
      <c r="S58" s="36">
        <f t="shared" si="5"/>
        <v>7.5336461788299118</v>
      </c>
    </row>
    <row r="59" spans="2:19">
      <c r="B59" s="307"/>
      <c r="C59" s="707"/>
      <c r="D59" s="707"/>
      <c r="E59" s="707"/>
      <c r="F59" s="707"/>
      <c r="G59" s="707"/>
      <c r="H59" s="707"/>
      <c r="I59" s="707"/>
      <c r="J59" s="707"/>
      <c r="K59" s="707"/>
      <c r="L59" s="707"/>
      <c r="M59" s="707"/>
      <c r="N59" s="707"/>
      <c r="O59" s="707"/>
      <c r="P59" s="707"/>
      <c r="Q59" s="36">
        <f t="shared" si="3"/>
        <v>-2.2336461788299116</v>
      </c>
      <c r="R59" s="36">
        <f t="shared" si="4"/>
        <v>2.65</v>
      </c>
      <c r="S59" s="36">
        <f t="shared" si="5"/>
        <v>7.5336461788299118</v>
      </c>
    </row>
    <row r="60" spans="2:19">
      <c r="B60" s="307"/>
      <c r="C60" s="707"/>
      <c r="D60" s="707"/>
      <c r="E60" s="707"/>
      <c r="F60" s="707"/>
      <c r="G60" s="707"/>
      <c r="H60" s="707"/>
      <c r="I60" s="707"/>
      <c r="J60" s="707"/>
      <c r="K60" s="707"/>
      <c r="L60" s="707"/>
      <c r="M60" s="707"/>
      <c r="N60" s="707"/>
      <c r="O60" s="707"/>
      <c r="P60" s="707"/>
      <c r="Q60" s="36">
        <f t="shared" si="3"/>
        <v>-2.2336461788299116</v>
      </c>
      <c r="R60" s="36">
        <f t="shared" si="4"/>
        <v>2.65</v>
      </c>
      <c r="S60" s="36">
        <f t="shared" si="5"/>
        <v>7.5336461788299118</v>
      </c>
    </row>
    <row r="61" spans="2:19">
      <c r="B61" s="307"/>
      <c r="C61" s="707"/>
      <c r="D61" s="707"/>
      <c r="E61" s="707"/>
      <c r="F61" s="707"/>
      <c r="G61" s="707"/>
      <c r="H61" s="707"/>
      <c r="I61" s="707"/>
      <c r="J61" s="707"/>
      <c r="K61" s="707"/>
      <c r="L61" s="707"/>
      <c r="M61" s="707"/>
      <c r="N61" s="707"/>
      <c r="O61" s="707"/>
      <c r="P61" s="707"/>
      <c r="Q61" s="36">
        <f t="shared" si="3"/>
        <v>-2.2336461788299116</v>
      </c>
      <c r="R61" s="36">
        <f t="shared" si="4"/>
        <v>2.65</v>
      </c>
      <c r="S61" s="36">
        <f t="shared" si="5"/>
        <v>7.5336461788299118</v>
      </c>
    </row>
    <row r="62" spans="2:19">
      <c r="B62" s="307"/>
      <c r="C62" s="707"/>
      <c r="D62" s="707"/>
      <c r="E62" s="707"/>
      <c r="F62" s="707"/>
      <c r="G62" s="707"/>
      <c r="H62" s="707"/>
      <c r="I62" s="707"/>
      <c r="J62" s="707"/>
      <c r="K62" s="707"/>
      <c r="L62" s="707"/>
      <c r="M62" s="707"/>
      <c r="N62" s="707"/>
      <c r="O62" s="707"/>
      <c r="P62" s="707"/>
      <c r="Q62" s="36">
        <f t="shared" si="3"/>
        <v>-2.2336461788299116</v>
      </c>
      <c r="R62" s="36">
        <f t="shared" si="4"/>
        <v>2.65</v>
      </c>
      <c r="S62" s="36">
        <f t="shared" si="5"/>
        <v>7.5336461788299118</v>
      </c>
    </row>
    <row r="63" spans="2:19">
      <c r="B63" s="307"/>
      <c r="C63" s="707"/>
      <c r="D63" s="707"/>
      <c r="E63" s="707"/>
      <c r="F63" s="707"/>
      <c r="G63" s="707"/>
      <c r="H63" s="707"/>
      <c r="I63" s="707"/>
      <c r="J63" s="707"/>
      <c r="K63" s="707"/>
      <c r="L63" s="707"/>
      <c r="M63" s="707"/>
      <c r="N63" s="707"/>
      <c r="O63" s="707"/>
      <c r="P63" s="707"/>
      <c r="Q63" s="36">
        <f t="shared" si="3"/>
        <v>-2.2336461788299116</v>
      </c>
      <c r="R63" s="36">
        <f t="shared" si="4"/>
        <v>2.65</v>
      </c>
      <c r="S63" s="36">
        <f t="shared" si="5"/>
        <v>7.5336461788299118</v>
      </c>
    </row>
    <row r="64" spans="2:19">
      <c r="B64" s="307"/>
      <c r="C64" s="707"/>
      <c r="D64" s="707"/>
      <c r="E64" s="707"/>
      <c r="F64" s="707"/>
      <c r="G64" s="707"/>
      <c r="H64" s="707"/>
      <c r="I64" s="707"/>
      <c r="J64" s="707"/>
      <c r="K64" s="707"/>
      <c r="L64" s="707"/>
      <c r="M64" s="707"/>
      <c r="N64" s="707"/>
      <c r="O64" s="707"/>
      <c r="P64" s="707"/>
      <c r="Q64" s="36">
        <f t="shared" si="3"/>
        <v>-2.2336461788299116</v>
      </c>
      <c r="R64" s="36">
        <f t="shared" si="4"/>
        <v>2.65</v>
      </c>
      <c r="S64" s="36">
        <f t="shared" si="5"/>
        <v>7.5336461788299118</v>
      </c>
    </row>
    <row r="65" spans="2:19">
      <c r="B65" s="307"/>
      <c r="C65" s="707"/>
      <c r="D65" s="707"/>
      <c r="E65" s="707"/>
      <c r="F65" s="707"/>
      <c r="G65" s="707"/>
      <c r="H65" s="707"/>
      <c r="I65" s="707"/>
      <c r="J65" s="707"/>
      <c r="K65" s="707"/>
      <c r="L65" s="707"/>
      <c r="M65" s="707"/>
      <c r="N65" s="707"/>
      <c r="O65" s="707"/>
      <c r="P65" s="707"/>
      <c r="Q65" s="36">
        <f t="shared" si="3"/>
        <v>-2.2336461788299116</v>
      </c>
      <c r="R65" s="36">
        <f t="shared" si="4"/>
        <v>2.65</v>
      </c>
      <c r="S65" s="36">
        <f t="shared" si="5"/>
        <v>7.5336461788299118</v>
      </c>
    </row>
    <row r="66" spans="2:19">
      <c r="B66" s="307"/>
      <c r="C66" s="707"/>
      <c r="D66" s="707"/>
      <c r="E66" s="707"/>
      <c r="F66" s="707"/>
      <c r="G66" s="707"/>
      <c r="H66" s="707"/>
      <c r="I66" s="707"/>
      <c r="J66" s="707"/>
      <c r="K66" s="707"/>
      <c r="L66" s="707"/>
      <c r="M66" s="707"/>
      <c r="N66" s="707"/>
      <c r="O66" s="707"/>
      <c r="P66" s="707"/>
      <c r="Q66" s="36">
        <f t="shared" si="3"/>
        <v>-2.2336461788299116</v>
      </c>
      <c r="R66" s="36">
        <f t="shared" si="4"/>
        <v>2.65</v>
      </c>
      <c r="S66" s="36">
        <f t="shared" si="5"/>
        <v>7.5336461788299118</v>
      </c>
    </row>
    <row r="67" spans="2:19">
      <c r="B67" s="307"/>
      <c r="C67" s="707"/>
      <c r="D67" s="707"/>
      <c r="E67" s="707"/>
      <c r="F67" s="707"/>
      <c r="G67" s="707"/>
      <c r="H67" s="707"/>
      <c r="I67" s="707"/>
      <c r="J67" s="707"/>
      <c r="K67" s="707"/>
      <c r="L67" s="707"/>
      <c r="M67" s="707"/>
      <c r="N67" s="707"/>
      <c r="O67" s="707"/>
      <c r="P67" s="707"/>
      <c r="Q67" s="36">
        <f t="shared" si="3"/>
        <v>-2.2336461788299116</v>
      </c>
      <c r="R67" s="36">
        <f t="shared" si="4"/>
        <v>2.65</v>
      </c>
      <c r="S67" s="36">
        <f t="shared" si="5"/>
        <v>7.5336461788299118</v>
      </c>
    </row>
    <row r="68" spans="2:19">
      <c r="B68" s="307"/>
      <c r="C68" s="707"/>
      <c r="D68" s="707"/>
      <c r="E68" s="707"/>
      <c r="F68" s="707"/>
      <c r="G68" s="707"/>
      <c r="H68" s="707"/>
      <c r="I68" s="707"/>
      <c r="J68" s="707"/>
      <c r="K68" s="707"/>
      <c r="L68" s="707"/>
      <c r="M68" s="707"/>
      <c r="N68" s="707"/>
      <c r="O68" s="707"/>
      <c r="P68" s="707"/>
      <c r="Q68" s="36">
        <f t="shared" si="3"/>
        <v>-2.2336461788299116</v>
      </c>
      <c r="R68" s="36">
        <f t="shared" si="4"/>
        <v>2.65</v>
      </c>
      <c r="S68" s="36">
        <f t="shared" si="5"/>
        <v>7.5336461788299118</v>
      </c>
    </row>
    <row r="69" spans="2:19">
      <c r="B69" s="307"/>
      <c r="C69" s="707"/>
      <c r="D69" s="707"/>
      <c r="E69" s="707"/>
      <c r="F69" s="707"/>
      <c r="G69" s="707"/>
      <c r="H69" s="707"/>
      <c r="I69" s="707"/>
      <c r="J69" s="707"/>
      <c r="K69" s="707"/>
      <c r="L69" s="707"/>
      <c r="M69" s="707"/>
      <c r="N69" s="707"/>
      <c r="O69" s="707"/>
      <c r="P69" s="707"/>
      <c r="Q69" s="36">
        <f t="shared" si="3"/>
        <v>-2.2336461788299116</v>
      </c>
      <c r="R69" s="36">
        <f t="shared" si="4"/>
        <v>2.65</v>
      </c>
      <c r="S69" s="36">
        <f t="shared" si="5"/>
        <v>7.5336461788299118</v>
      </c>
    </row>
    <row r="70" spans="2:19">
      <c r="B70" s="307"/>
      <c r="C70" s="707"/>
      <c r="D70" s="707"/>
      <c r="E70" s="707"/>
      <c r="F70" s="707"/>
      <c r="G70" s="707"/>
      <c r="H70" s="707"/>
      <c r="I70" s="707"/>
      <c r="J70" s="707"/>
      <c r="K70" s="707"/>
      <c r="L70" s="707"/>
      <c r="M70" s="707"/>
      <c r="N70" s="707"/>
      <c r="O70" s="707"/>
      <c r="P70" s="707"/>
      <c r="Q70" s="36">
        <f t="shared" si="3"/>
        <v>-2.2336461788299116</v>
      </c>
      <c r="R70" s="36">
        <f t="shared" si="4"/>
        <v>2.65</v>
      </c>
      <c r="S70" s="36">
        <f t="shared" si="5"/>
        <v>7.5336461788299118</v>
      </c>
    </row>
    <row r="71" spans="2:19">
      <c r="B71" s="307"/>
      <c r="C71" s="707"/>
      <c r="D71" s="707"/>
      <c r="E71" s="707"/>
      <c r="F71" s="707"/>
      <c r="G71" s="707"/>
      <c r="H71" s="707"/>
      <c r="I71" s="707"/>
      <c r="J71" s="707"/>
      <c r="K71" s="707"/>
      <c r="L71" s="707"/>
      <c r="M71" s="707"/>
      <c r="N71" s="707"/>
      <c r="O71" s="707"/>
      <c r="P71" s="707"/>
      <c r="Q71" s="36">
        <f t="shared" si="3"/>
        <v>-2.2336461788299116</v>
      </c>
      <c r="R71" s="36">
        <f t="shared" si="4"/>
        <v>2.65</v>
      </c>
      <c r="S71" s="36">
        <f t="shared" si="5"/>
        <v>7.5336461788299118</v>
      </c>
    </row>
    <row r="72" spans="2:19">
      <c r="B72" s="307"/>
      <c r="C72" s="707"/>
      <c r="D72" s="707"/>
      <c r="E72" s="707"/>
      <c r="F72" s="707"/>
      <c r="G72" s="707"/>
      <c r="H72" s="707"/>
      <c r="I72" s="707"/>
      <c r="J72" s="707"/>
      <c r="K72" s="707"/>
      <c r="L72" s="707"/>
      <c r="M72" s="707"/>
      <c r="N72" s="707"/>
      <c r="O72" s="707"/>
      <c r="P72" s="707"/>
      <c r="Q72" s="36">
        <f t="shared" si="3"/>
        <v>-2.2336461788299116</v>
      </c>
      <c r="R72" s="36">
        <f t="shared" si="4"/>
        <v>2.65</v>
      </c>
      <c r="S72" s="36">
        <f t="shared" si="5"/>
        <v>7.5336461788299118</v>
      </c>
    </row>
    <row r="73" spans="2:19">
      <c r="B73" s="307"/>
      <c r="C73" s="707"/>
      <c r="D73" s="707"/>
      <c r="E73" s="707"/>
      <c r="F73" s="707"/>
      <c r="G73" s="707"/>
      <c r="H73" s="707"/>
      <c r="I73" s="707"/>
      <c r="J73" s="707"/>
      <c r="K73" s="707"/>
      <c r="L73" s="707"/>
      <c r="M73" s="707"/>
      <c r="N73" s="707"/>
      <c r="O73" s="707"/>
      <c r="P73" s="707"/>
      <c r="Q73" s="36">
        <f t="shared" si="3"/>
        <v>-2.2336461788299116</v>
      </c>
      <c r="R73" s="36">
        <f t="shared" si="4"/>
        <v>2.65</v>
      </c>
      <c r="S73" s="36">
        <f t="shared" si="5"/>
        <v>7.5336461788299118</v>
      </c>
    </row>
    <row r="74" spans="2:19">
      <c r="B74" s="307"/>
      <c r="C74" s="707"/>
      <c r="D74" s="707"/>
      <c r="E74" s="707"/>
      <c r="F74" s="707"/>
      <c r="G74" s="707"/>
      <c r="H74" s="707"/>
      <c r="I74" s="707"/>
      <c r="J74" s="707"/>
      <c r="K74" s="707"/>
      <c r="L74" s="707"/>
      <c r="M74" s="707"/>
      <c r="N74" s="707"/>
      <c r="O74" s="707"/>
      <c r="P74" s="707"/>
      <c r="Q74" s="36">
        <f t="shared" si="3"/>
        <v>-2.2336461788299116</v>
      </c>
      <c r="R74" s="36">
        <f t="shared" si="4"/>
        <v>2.65</v>
      </c>
      <c r="S74" s="36">
        <f t="shared" si="5"/>
        <v>7.5336461788299118</v>
      </c>
    </row>
    <row r="75" spans="2:19">
      <c r="B75" s="307"/>
      <c r="C75" s="707"/>
      <c r="D75" s="707"/>
      <c r="E75" s="707"/>
      <c r="F75" s="707"/>
      <c r="G75" s="707"/>
      <c r="H75" s="707"/>
      <c r="I75" s="707"/>
      <c r="J75" s="707"/>
      <c r="K75" s="707"/>
      <c r="L75" s="707"/>
      <c r="M75" s="707"/>
      <c r="N75" s="707"/>
      <c r="O75" s="707"/>
      <c r="P75" s="707"/>
      <c r="Q75" s="36">
        <f t="shared" si="3"/>
        <v>-2.2336461788299116</v>
      </c>
      <c r="R75" s="36">
        <f t="shared" si="4"/>
        <v>2.65</v>
      </c>
      <c r="S75" s="36">
        <f t="shared" si="5"/>
        <v>7.5336461788299118</v>
      </c>
    </row>
    <row r="76" spans="2:19">
      <c r="B76" s="307"/>
      <c r="C76" s="707"/>
      <c r="D76" s="707"/>
      <c r="E76" s="707"/>
      <c r="F76" s="707"/>
      <c r="G76" s="707"/>
      <c r="H76" s="707"/>
      <c r="I76" s="707"/>
      <c r="J76" s="707"/>
      <c r="K76" s="707"/>
      <c r="L76" s="707"/>
      <c r="M76" s="707"/>
      <c r="N76" s="707"/>
      <c r="O76" s="707"/>
      <c r="P76" s="707"/>
      <c r="Q76" s="36">
        <f t="shared" si="3"/>
        <v>-2.2336461788299116</v>
      </c>
      <c r="R76" s="36">
        <f t="shared" si="4"/>
        <v>2.65</v>
      </c>
      <c r="S76" s="36">
        <f t="shared" si="5"/>
        <v>7.5336461788299118</v>
      </c>
    </row>
    <row r="77" spans="2:19">
      <c r="B77" s="307"/>
      <c r="C77" s="707"/>
      <c r="D77" s="707"/>
      <c r="E77" s="707"/>
      <c r="F77" s="707"/>
      <c r="G77" s="707"/>
      <c r="H77" s="707"/>
      <c r="I77" s="707"/>
      <c r="J77" s="707"/>
      <c r="K77" s="707"/>
      <c r="L77" s="707"/>
      <c r="M77" s="707"/>
      <c r="N77" s="707"/>
      <c r="O77" s="707"/>
      <c r="P77" s="707"/>
      <c r="Q77" s="36">
        <f t="shared" si="3"/>
        <v>-2.2336461788299116</v>
      </c>
      <c r="R77" s="36">
        <f t="shared" si="4"/>
        <v>2.65</v>
      </c>
      <c r="S77" s="36">
        <f t="shared" si="5"/>
        <v>7.5336461788299118</v>
      </c>
    </row>
    <row r="78" spans="2:19">
      <c r="B78" s="307"/>
      <c r="C78" s="707"/>
      <c r="D78" s="707"/>
      <c r="E78" s="707"/>
      <c r="F78" s="707"/>
      <c r="G78" s="707"/>
      <c r="H78" s="707"/>
      <c r="I78" s="707"/>
      <c r="J78" s="707"/>
      <c r="K78" s="707"/>
      <c r="L78" s="707"/>
      <c r="M78" s="707"/>
      <c r="N78" s="707"/>
      <c r="O78" s="707"/>
      <c r="P78" s="707"/>
      <c r="Q78" s="36">
        <f t="shared" si="3"/>
        <v>-2.2336461788299116</v>
      </c>
      <c r="R78" s="36">
        <f t="shared" si="4"/>
        <v>2.65</v>
      </c>
      <c r="S78" s="36">
        <f t="shared" si="5"/>
        <v>7.5336461788299118</v>
      </c>
    </row>
    <row r="79" spans="2:19">
      <c r="B79" s="307"/>
      <c r="C79" s="707"/>
      <c r="D79" s="707"/>
      <c r="E79" s="707"/>
      <c r="F79" s="707"/>
      <c r="G79" s="707"/>
      <c r="H79" s="707"/>
      <c r="I79" s="707"/>
      <c r="J79" s="707"/>
      <c r="K79" s="707"/>
      <c r="L79" s="707"/>
      <c r="M79" s="707"/>
      <c r="N79" s="707"/>
      <c r="O79" s="707"/>
      <c r="P79" s="707"/>
      <c r="Q79" s="36">
        <f t="shared" si="3"/>
        <v>-2.2336461788299116</v>
      </c>
      <c r="R79" s="36">
        <f t="shared" si="4"/>
        <v>2.65</v>
      </c>
      <c r="S79" s="36">
        <f t="shared" si="5"/>
        <v>7.5336461788299118</v>
      </c>
    </row>
    <row r="80" spans="2:19">
      <c r="B80" s="307"/>
      <c r="C80" s="707"/>
      <c r="D80" s="707"/>
      <c r="E80" s="707"/>
      <c r="F80" s="707"/>
      <c r="G80" s="707"/>
      <c r="H80" s="707"/>
      <c r="I80" s="707"/>
      <c r="J80" s="707"/>
      <c r="K80" s="707"/>
      <c r="L80" s="707"/>
      <c r="M80" s="707"/>
      <c r="N80" s="707"/>
      <c r="O80" s="707"/>
      <c r="P80" s="707"/>
      <c r="Q80" s="36">
        <f t="shared" si="3"/>
        <v>-2.2336461788299116</v>
      </c>
      <c r="R80" s="36">
        <f t="shared" si="4"/>
        <v>2.65</v>
      </c>
      <c r="S80" s="36">
        <f t="shared" si="5"/>
        <v>7.5336461788299118</v>
      </c>
    </row>
    <row r="81" spans="2:19">
      <c r="B81" s="307"/>
      <c r="C81" s="707"/>
      <c r="D81" s="707"/>
      <c r="E81" s="707"/>
      <c r="F81" s="707"/>
      <c r="G81" s="707"/>
      <c r="H81" s="707"/>
      <c r="I81" s="707"/>
      <c r="J81" s="707"/>
      <c r="K81" s="707"/>
      <c r="L81" s="707"/>
      <c r="M81" s="707"/>
      <c r="N81" s="707"/>
      <c r="O81" s="707"/>
      <c r="P81" s="707"/>
      <c r="Q81" s="36">
        <f t="shared" si="3"/>
        <v>-2.2336461788299116</v>
      </c>
      <c r="R81" s="36">
        <f t="shared" si="4"/>
        <v>2.65</v>
      </c>
      <c r="S81" s="36">
        <f t="shared" si="5"/>
        <v>7.5336461788299118</v>
      </c>
    </row>
    <row r="82" spans="2:19">
      <c r="B82" s="307"/>
      <c r="C82" s="707"/>
      <c r="D82" s="707"/>
      <c r="E82" s="707"/>
      <c r="F82" s="707"/>
      <c r="G82" s="707"/>
      <c r="H82" s="707"/>
      <c r="I82" s="707"/>
      <c r="J82" s="707"/>
      <c r="K82" s="707"/>
      <c r="L82" s="707"/>
      <c r="M82" s="707"/>
      <c r="N82" s="707"/>
      <c r="O82" s="707"/>
      <c r="P82" s="707"/>
      <c r="Q82" s="36">
        <f t="shared" si="3"/>
        <v>-2.2336461788299116</v>
      </c>
      <c r="R82" s="36">
        <f t="shared" si="4"/>
        <v>2.65</v>
      </c>
      <c r="S82" s="36">
        <f t="shared" si="5"/>
        <v>7.5336461788299118</v>
      </c>
    </row>
    <row r="83" spans="2:19">
      <c r="B83" s="307"/>
      <c r="C83" s="707"/>
      <c r="D83" s="707"/>
      <c r="E83" s="707"/>
      <c r="F83" s="707"/>
      <c r="G83" s="707"/>
      <c r="H83" s="707"/>
      <c r="I83" s="707"/>
      <c r="J83" s="707"/>
      <c r="K83" s="707"/>
      <c r="L83" s="707"/>
      <c r="M83" s="707"/>
      <c r="N83" s="707"/>
      <c r="O83" s="707"/>
      <c r="P83" s="707"/>
      <c r="Q83" s="36">
        <f t="shared" si="3"/>
        <v>-2.2336461788299116</v>
      </c>
      <c r="R83" s="36">
        <f t="shared" si="4"/>
        <v>2.65</v>
      </c>
      <c r="S83" s="36">
        <f t="shared" si="5"/>
        <v>7.5336461788299118</v>
      </c>
    </row>
    <row r="84" spans="2:19">
      <c r="B84" s="307"/>
      <c r="C84" s="707"/>
      <c r="D84" s="707"/>
      <c r="E84" s="707"/>
      <c r="F84" s="707"/>
      <c r="G84" s="707"/>
      <c r="H84" s="707"/>
      <c r="I84" s="707"/>
      <c r="J84" s="707"/>
      <c r="K84" s="707"/>
      <c r="L84" s="707"/>
      <c r="M84" s="707"/>
      <c r="N84" s="707"/>
      <c r="O84" s="707"/>
      <c r="P84" s="707"/>
      <c r="Q84" s="36">
        <f t="shared" si="3"/>
        <v>-2.2336461788299116</v>
      </c>
      <c r="R84" s="36">
        <f t="shared" si="4"/>
        <v>2.65</v>
      </c>
      <c r="S84" s="36">
        <f t="shared" si="5"/>
        <v>7.5336461788299118</v>
      </c>
    </row>
    <row r="85" spans="2:19">
      <c r="B85" s="307"/>
      <c r="C85" s="707"/>
      <c r="D85" s="707"/>
      <c r="E85" s="707"/>
      <c r="F85" s="707"/>
      <c r="G85" s="707"/>
      <c r="H85" s="707"/>
      <c r="I85" s="707"/>
      <c r="J85" s="707"/>
      <c r="K85" s="707"/>
      <c r="L85" s="707"/>
      <c r="M85" s="707"/>
      <c r="N85" s="707"/>
      <c r="O85" s="707"/>
      <c r="P85" s="707"/>
      <c r="Q85" s="36">
        <f t="shared" si="3"/>
        <v>-2.2336461788299116</v>
      </c>
      <c r="R85" s="36">
        <f t="shared" si="4"/>
        <v>2.65</v>
      </c>
      <c r="S85" s="36">
        <f t="shared" si="5"/>
        <v>7.5336461788299118</v>
      </c>
    </row>
    <row r="86" spans="2:19">
      <c r="B86" s="307"/>
      <c r="C86" s="707"/>
      <c r="D86" s="707"/>
      <c r="E86" s="707"/>
      <c r="F86" s="707"/>
      <c r="G86" s="707"/>
      <c r="H86" s="707"/>
      <c r="I86" s="707"/>
      <c r="J86" s="707"/>
      <c r="K86" s="707"/>
      <c r="L86" s="707"/>
      <c r="M86" s="707"/>
      <c r="N86" s="707"/>
      <c r="O86" s="707"/>
      <c r="P86" s="707"/>
      <c r="Q86" s="36">
        <f t="shared" si="3"/>
        <v>-2.2336461788299116</v>
      </c>
      <c r="R86" s="36">
        <f t="shared" si="4"/>
        <v>2.65</v>
      </c>
      <c r="S86" s="36">
        <f t="shared" si="5"/>
        <v>7.5336461788299118</v>
      </c>
    </row>
    <row r="87" spans="2:19">
      <c r="B87" s="307"/>
      <c r="C87" s="707"/>
      <c r="D87" s="707"/>
      <c r="E87" s="707"/>
      <c r="F87" s="707"/>
      <c r="G87" s="707"/>
      <c r="H87" s="707"/>
      <c r="I87" s="707"/>
      <c r="J87" s="707"/>
      <c r="K87" s="707"/>
      <c r="L87" s="707"/>
      <c r="M87" s="707"/>
      <c r="N87" s="707"/>
      <c r="O87" s="707"/>
      <c r="P87" s="707"/>
      <c r="Q87" s="36">
        <f t="shared" si="3"/>
        <v>-2.2336461788299116</v>
      </c>
      <c r="R87" s="36">
        <f t="shared" si="4"/>
        <v>2.65</v>
      </c>
      <c r="S87" s="36">
        <f t="shared" si="5"/>
        <v>7.5336461788299118</v>
      </c>
    </row>
    <row r="88" spans="2:19">
      <c r="B88" s="307"/>
      <c r="C88" s="707"/>
      <c r="D88" s="707"/>
      <c r="E88" s="707"/>
      <c r="F88" s="707"/>
      <c r="G88" s="707"/>
      <c r="H88" s="707"/>
      <c r="I88" s="707"/>
      <c r="J88" s="707"/>
      <c r="K88" s="707"/>
      <c r="L88" s="707"/>
      <c r="M88" s="707"/>
      <c r="N88" s="707"/>
      <c r="O88" s="707"/>
      <c r="P88" s="707"/>
      <c r="Q88" s="36">
        <f t="shared" si="3"/>
        <v>-2.2336461788299116</v>
      </c>
      <c r="R88" s="36">
        <f t="shared" si="4"/>
        <v>2.65</v>
      </c>
      <c r="S88" s="36">
        <f t="shared" si="5"/>
        <v>7.5336461788299118</v>
      </c>
    </row>
    <row r="89" spans="2:19">
      <c r="B89" s="307"/>
      <c r="C89" s="707"/>
      <c r="D89" s="707"/>
      <c r="E89" s="707"/>
      <c r="F89" s="707"/>
      <c r="G89" s="707"/>
      <c r="H89" s="707"/>
      <c r="I89" s="707"/>
      <c r="J89" s="707"/>
      <c r="K89" s="707"/>
      <c r="L89" s="707"/>
      <c r="M89" s="707"/>
      <c r="N89" s="707"/>
      <c r="O89" s="707"/>
      <c r="P89" s="707"/>
      <c r="Q89" s="36">
        <f t="shared" si="3"/>
        <v>-2.2336461788299116</v>
      </c>
      <c r="R89" s="36">
        <f t="shared" si="4"/>
        <v>2.65</v>
      </c>
      <c r="S89" s="36">
        <f t="shared" si="5"/>
        <v>7.5336461788299118</v>
      </c>
    </row>
    <row r="90" spans="2:19">
      <c r="B90" s="307"/>
      <c r="C90" s="707"/>
      <c r="D90" s="707"/>
      <c r="E90" s="707"/>
      <c r="F90" s="707"/>
      <c r="G90" s="707"/>
      <c r="H90" s="707"/>
      <c r="I90" s="707"/>
      <c r="J90" s="707"/>
      <c r="K90" s="707"/>
      <c r="L90" s="707"/>
      <c r="M90" s="707"/>
      <c r="N90" s="707"/>
      <c r="O90" s="707"/>
      <c r="P90" s="707"/>
      <c r="Q90" s="36">
        <f t="shared" si="3"/>
        <v>-2.2336461788299116</v>
      </c>
      <c r="R90" s="36">
        <f t="shared" si="4"/>
        <v>2.65</v>
      </c>
      <c r="S90" s="36">
        <f t="shared" si="5"/>
        <v>7.5336461788299118</v>
      </c>
    </row>
    <row r="91" spans="2:19">
      <c r="B91" s="307"/>
      <c r="C91" s="707"/>
      <c r="D91" s="707"/>
      <c r="E91" s="707"/>
      <c r="F91" s="707"/>
      <c r="G91" s="707"/>
      <c r="H91" s="707"/>
      <c r="I91" s="707"/>
      <c r="J91" s="707"/>
      <c r="K91" s="707"/>
      <c r="L91" s="707"/>
      <c r="M91" s="707"/>
      <c r="N91" s="707"/>
      <c r="O91" s="707"/>
      <c r="P91" s="707"/>
      <c r="Q91" s="36">
        <f t="shared" si="3"/>
        <v>-2.2336461788299116</v>
      </c>
      <c r="R91" s="36">
        <f t="shared" si="4"/>
        <v>2.65</v>
      </c>
      <c r="S91" s="36">
        <f t="shared" si="5"/>
        <v>7.5336461788299118</v>
      </c>
    </row>
    <row r="92" spans="2:19">
      <c r="B92" s="307"/>
      <c r="C92" s="707"/>
      <c r="D92" s="707"/>
      <c r="E92" s="707"/>
      <c r="F92" s="707"/>
      <c r="G92" s="707"/>
      <c r="H92" s="707"/>
      <c r="I92" s="707"/>
      <c r="J92" s="707"/>
      <c r="K92" s="707"/>
      <c r="L92" s="707"/>
      <c r="M92" s="707"/>
      <c r="N92" s="707"/>
      <c r="O92" s="707"/>
      <c r="P92" s="707"/>
      <c r="Q92" s="36">
        <f t="shared" si="3"/>
        <v>-2.2336461788299116</v>
      </c>
      <c r="R92" s="36">
        <f t="shared" si="4"/>
        <v>2.65</v>
      </c>
      <c r="S92" s="36">
        <f t="shared" si="5"/>
        <v>7.5336461788299118</v>
      </c>
    </row>
    <row r="93" spans="2:19">
      <c r="B93" s="307"/>
      <c r="C93" s="707"/>
      <c r="D93" s="707"/>
      <c r="E93" s="707"/>
      <c r="F93" s="707"/>
      <c r="G93" s="707"/>
      <c r="H93" s="707"/>
      <c r="I93" s="707"/>
      <c r="J93" s="707"/>
      <c r="K93" s="707"/>
      <c r="L93" s="707"/>
      <c r="M93" s="707"/>
      <c r="N93" s="707"/>
      <c r="O93" s="707"/>
      <c r="P93" s="707"/>
      <c r="Q93" s="36">
        <f t="shared" si="3"/>
        <v>-2.2336461788299116</v>
      </c>
      <c r="R93" s="36">
        <f t="shared" si="4"/>
        <v>2.65</v>
      </c>
      <c r="S93" s="36">
        <f t="shared" si="5"/>
        <v>7.5336461788299118</v>
      </c>
    </row>
    <row r="94" spans="2:19">
      <c r="B94" s="307"/>
      <c r="C94" s="707"/>
      <c r="D94" s="707"/>
      <c r="E94" s="707"/>
      <c r="F94" s="707"/>
      <c r="G94" s="707"/>
      <c r="H94" s="707"/>
      <c r="I94" s="707"/>
      <c r="J94" s="707"/>
      <c r="K94" s="707"/>
      <c r="L94" s="707"/>
      <c r="M94" s="707"/>
      <c r="N94" s="707"/>
      <c r="O94" s="707"/>
      <c r="P94" s="707"/>
      <c r="Q94" s="36">
        <f t="shared" si="3"/>
        <v>-2.2336461788299116</v>
      </c>
      <c r="R94" s="36">
        <f t="shared" si="4"/>
        <v>2.65</v>
      </c>
      <c r="S94" s="36">
        <f t="shared" si="5"/>
        <v>7.5336461788299118</v>
      </c>
    </row>
    <row r="95" spans="2:19">
      <c r="B95" s="307"/>
      <c r="C95" s="707"/>
      <c r="D95" s="707"/>
      <c r="E95" s="707"/>
      <c r="F95" s="707"/>
      <c r="G95" s="707"/>
      <c r="H95" s="707"/>
      <c r="I95" s="707"/>
      <c r="J95" s="707"/>
      <c r="K95" s="707"/>
      <c r="L95" s="707"/>
      <c r="M95" s="707"/>
      <c r="N95" s="707"/>
      <c r="O95" s="707"/>
      <c r="P95" s="707"/>
      <c r="Q95" s="36">
        <f t="shared" si="3"/>
        <v>-2.2336461788299116</v>
      </c>
      <c r="R95" s="36">
        <f t="shared" si="4"/>
        <v>2.65</v>
      </c>
      <c r="S95" s="36">
        <f t="shared" si="5"/>
        <v>7.5336461788299118</v>
      </c>
    </row>
    <row r="96" spans="2:19">
      <c r="B96" s="307"/>
      <c r="C96" s="707"/>
      <c r="D96" s="707"/>
      <c r="E96" s="707"/>
      <c r="F96" s="707"/>
      <c r="G96" s="707"/>
      <c r="H96" s="707"/>
      <c r="I96" s="707"/>
      <c r="J96" s="707"/>
      <c r="K96" s="707"/>
      <c r="L96" s="707"/>
      <c r="M96" s="707"/>
      <c r="N96" s="707"/>
      <c r="O96" s="707"/>
      <c r="P96" s="707"/>
      <c r="Q96" s="36">
        <f t="shared" si="3"/>
        <v>-2.2336461788299116</v>
      </c>
      <c r="R96" s="36">
        <f t="shared" si="4"/>
        <v>2.65</v>
      </c>
      <c r="S96" s="36">
        <f t="shared" si="5"/>
        <v>7.5336461788299118</v>
      </c>
    </row>
    <row r="97" spans="2:19">
      <c r="B97" s="307"/>
      <c r="C97" s="707"/>
      <c r="D97" s="707"/>
      <c r="E97" s="707"/>
      <c r="F97" s="707"/>
      <c r="G97" s="707"/>
      <c r="H97" s="707"/>
      <c r="I97" s="707"/>
      <c r="J97" s="707"/>
      <c r="K97" s="707"/>
      <c r="L97" s="707"/>
      <c r="M97" s="707"/>
      <c r="N97" s="707"/>
      <c r="O97" s="707"/>
      <c r="P97" s="707"/>
      <c r="Q97" s="36">
        <f t="shared" si="3"/>
        <v>-2.2336461788299116</v>
      </c>
      <c r="R97" s="36">
        <f t="shared" si="4"/>
        <v>2.65</v>
      </c>
      <c r="S97" s="36">
        <f t="shared" si="5"/>
        <v>7.5336461788299118</v>
      </c>
    </row>
    <row r="98" spans="2:19">
      <c r="B98" s="307"/>
      <c r="C98" s="707"/>
      <c r="D98" s="707"/>
      <c r="E98" s="707"/>
      <c r="F98" s="707"/>
      <c r="G98" s="707"/>
      <c r="H98" s="707"/>
      <c r="I98" s="707"/>
      <c r="J98" s="707"/>
      <c r="K98" s="707"/>
      <c r="L98" s="707"/>
      <c r="M98" s="707"/>
      <c r="N98" s="707"/>
      <c r="O98" s="707"/>
      <c r="P98" s="707"/>
      <c r="Q98" s="36">
        <f t="shared" si="3"/>
        <v>-2.2336461788299116</v>
      </c>
      <c r="R98" s="36">
        <f t="shared" si="4"/>
        <v>2.65</v>
      </c>
      <c r="S98" s="36">
        <f t="shared" si="5"/>
        <v>7.5336461788299118</v>
      </c>
    </row>
    <row r="99" spans="2:19">
      <c r="B99" s="307"/>
      <c r="C99" s="707"/>
      <c r="D99" s="707"/>
      <c r="E99" s="707"/>
      <c r="F99" s="707"/>
      <c r="G99" s="707"/>
      <c r="H99" s="707"/>
      <c r="I99" s="707"/>
      <c r="J99" s="707"/>
      <c r="K99" s="707"/>
      <c r="L99" s="707"/>
      <c r="M99" s="707"/>
      <c r="N99" s="707"/>
      <c r="O99" s="707"/>
      <c r="P99" s="707"/>
      <c r="Q99" s="36">
        <f t="shared" si="3"/>
        <v>-2.2336461788299116</v>
      </c>
      <c r="R99" s="36">
        <f t="shared" si="4"/>
        <v>2.65</v>
      </c>
      <c r="S99" s="36">
        <f t="shared" si="5"/>
        <v>7.5336461788299118</v>
      </c>
    </row>
    <row r="100" spans="2:19">
      <c r="B100" s="307"/>
      <c r="C100" s="707"/>
      <c r="D100" s="707"/>
      <c r="E100" s="707"/>
      <c r="F100" s="707"/>
      <c r="G100" s="707"/>
      <c r="H100" s="707"/>
      <c r="I100" s="707"/>
      <c r="J100" s="707"/>
      <c r="K100" s="707"/>
      <c r="L100" s="707"/>
      <c r="M100" s="707"/>
      <c r="N100" s="707"/>
      <c r="O100" s="707"/>
      <c r="P100" s="707"/>
      <c r="Q100" s="36">
        <f t="shared" si="3"/>
        <v>-2.2336461788299116</v>
      </c>
      <c r="R100" s="36">
        <f t="shared" si="4"/>
        <v>2.65</v>
      </c>
      <c r="S100" s="36">
        <f t="shared" si="5"/>
        <v>7.5336461788299118</v>
      </c>
    </row>
    <row r="101" spans="2:19">
      <c r="B101" s="307"/>
      <c r="C101" s="707"/>
      <c r="D101" s="707"/>
      <c r="E101" s="707"/>
      <c r="F101" s="707"/>
      <c r="G101" s="707"/>
      <c r="H101" s="707"/>
      <c r="I101" s="707"/>
      <c r="J101" s="707"/>
      <c r="K101" s="707"/>
      <c r="L101" s="707"/>
      <c r="M101" s="707"/>
      <c r="N101" s="707"/>
      <c r="O101" s="707"/>
      <c r="P101" s="707"/>
      <c r="Q101" s="36">
        <f t="shared" ref="Q101:S101" si="6">Q100</f>
        <v>-2.2336461788299116</v>
      </c>
      <c r="R101" s="36">
        <f t="shared" si="6"/>
        <v>2.65</v>
      </c>
      <c r="S101" s="36">
        <f t="shared" si="6"/>
        <v>7.5336461788299118</v>
      </c>
    </row>
  </sheetData>
  <pageMargins left="0.70866141732283472" right="0.70866141732283472" top="0.74803149606299213" bottom="0.74803149606299213" header="0.31496062992125984" footer="0.31496062992125984"/>
  <pageSetup paperSize="9" scale="31" orientation="landscape" horizontalDpi="4294967293" verticalDpi="0" r:id="rId1"/>
  <customProperties>
    <customPr name="ORB_SHEETNAME" r:id="rId2"/>
  </customProperties>
  <drawing r:id="rId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2D2B3-CA2E-4E80-8B6E-126A9087BC1F}">
  <sheetPr>
    <tabColor rgb="FFFFFF00"/>
    <pageSetUpPr fitToPage="1"/>
  </sheetPr>
  <dimension ref="A1:BD100"/>
  <sheetViews>
    <sheetView zoomScale="80" zoomScaleNormal="80" workbookViewId="0">
      <pane xSplit="6" ySplit="1" topLeftCell="G2" activePane="bottomRight" state="frozen"/>
      <selection pane="bottomRight"/>
      <selection pane="bottomLeft" activeCell="A2" sqref="A2"/>
      <selection pane="topRight" activeCell="G1" sqref="G1"/>
    </sheetView>
  </sheetViews>
  <sheetFormatPr defaultColWidth="8.7109375" defaultRowHeight="15.75"/>
  <cols>
    <col min="1" max="1" width="13.5703125" style="314" customWidth="1"/>
    <col min="2" max="2" width="14" style="314" customWidth="1"/>
    <col min="3" max="3" width="8.7109375" style="314"/>
    <col min="4" max="4" width="13.140625" style="314" customWidth="1"/>
    <col min="5" max="5" width="11" style="314" customWidth="1"/>
    <col min="6" max="6" width="11" style="1031" customWidth="1"/>
    <col min="7" max="256" width="8.7109375" style="314"/>
    <col min="257" max="257" width="11.7109375" style="314" customWidth="1"/>
    <col min="258" max="258" width="14" style="314" customWidth="1"/>
    <col min="259" max="259" width="8.7109375" style="314"/>
    <col min="260" max="262" width="11" style="314" customWidth="1"/>
    <col min="263" max="512" width="8.7109375" style="314"/>
    <col min="513" max="513" width="11.7109375" style="314" customWidth="1"/>
    <col min="514" max="514" width="14" style="314" customWidth="1"/>
    <col min="515" max="515" width="8.7109375" style="314"/>
    <col min="516" max="518" width="11" style="314" customWidth="1"/>
    <col min="519" max="768" width="8.7109375" style="314"/>
    <col min="769" max="769" width="11.7109375" style="314" customWidth="1"/>
    <col min="770" max="770" width="14" style="314" customWidth="1"/>
    <col min="771" max="771" width="8.7109375" style="314"/>
    <col min="772" max="774" width="11" style="314" customWidth="1"/>
    <col min="775" max="1024" width="8.7109375" style="314"/>
    <col min="1025" max="1025" width="11.7109375" style="314" customWidth="1"/>
    <col min="1026" max="1026" width="14" style="314" customWidth="1"/>
    <col min="1027" max="1027" width="8.7109375" style="314"/>
    <col min="1028" max="1030" width="11" style="314" customWidth="1"/>
    <col min="1031" max="1280" width="8.7109375" style="314"/>
    <col min="1281" max="1281" width="11.7109375" style="314" customWidth="1"/>
    <col min="1282" max="1282" width="14" style="314" customWidth="1"/>
    <col min="1283" max="1283" width="8.7109375" style="314"/>
    <col min="1284" max="1286" width="11" style="314" customWidth="1"/>
    <col min="1287" max="1536" width="8.7109375" style="314"/>
    <col min="1537" max="1537" width="11.7109375" style="314" customWidth="1"/>
    <col min="1538" max="1538" width="14" style="314" customWidth="1"/>
    <col min="1539" max="1539" width="8.7109375" style="314"/>
    <col min="1540" max="1542" width="11" style="314" customWidth="1"/>
    <col min="1543" max="1792" width="8.7109375" style="314"/>
    <col min="1793" max="1793" width="11.7109375" style="314" customWidth="1"/>
    <col min="1794" max="1794" width="14" style="314" customWidth="1"/>
    <col min="1795" max="1795" width="8.7109375" style="314"/>
    <col min="1796" max="1798" width="11" style="314" customWidth="1"/>
    <col min="1799" max="2048" width="8.7109375" style="314"/>
    <col min="2049" max="2049" width="11.7109375" style="314" customWidth="1"/>
    <col min="2050" max="2050" width="14" style="314" customWidth="1"/>
    <col min="2051" max="2051" width="8.7109375" style="314"/>
    <col min="2052" max="2054" width="11" style="314" customWidth="1"/>
    <col min="2055" max="2304" width="8.7109375" style="314"/>
    <col min="2305" max="2305" width="11.7109375" style="314" customWidth="1"/>
    <col min="2306" max="2306" width="14" style="314" customWidth="1"/>
    <col min="2307" max="2307" width="8.7109375" style="314"/>
    <col min="2308" max="2310" width="11" style="314" customWidth="1"/>
    <col min="2311" max="2560" width="8.7109375" style="314"/>
    <col min="2561" max="2561" width="11.7109375" style="314" customWidth="1"/>
    <col min="2562" max="2562" width="14" style="314" customWidth="1"/>
    <col min="2563" max="2563" width="8.7109375" style="314"/>
    <col min="2564" max="2566" width="11" style="314" customWidth="1"/>
    <col min="2567" max="2816" width="8.7109375" style="314"/>
    <col min="2817" max="2817" width="11.7109375" style="314" customWidth="1"/>
    <col min="2818" max="2818" width="14" style="314" customWidth="1"/>
    <col min="2819" max="2819" width="8.7109375" style="314"/>
    <col min="2820" max="2822" width="11" style="314" customWidth="1"/>
    <col min="2823" max="3072" width="8.7109375" style="314"/>
    <col min="3073" max="3073" width="11.7109375" style="314" customWidth="1"/>
    <col min="3074" max="3074" width="14" style="314" customWidth="1"/>
    <col min="3075" max="3075" width="8.7109375" style="314"/>
    <col min="3076" max="3078" width="11" style="314" customWidth="1"/>
    <col min="3079" max="3328" width="8.7109375" style="314"/>
    <col min="3329" max="3329" width="11.7109375" style="314" customWidth="1"/>
    <col min="3330" max="3330" width="14" style="314" customWidth="1"/>
    <col min="3331" max="3331" width="8.7109375" style="314"/>
    <col min="3332" max="3334" width="11" style="314" customWidth="1"/>
    <col min="3335" max="3584" width="8.7109375" style="314"/>
    <col min="3585" max="3585" width="11.7109375" style="314" customWidth="1"/>
    <col min="3586" max="3586" width="14" style="314" customWidth="1"/>
    <col min="3587" max="3587" width="8.7109375" style="314"/>
    <col min="3588" max="3590" width="11" style="314" customWidth="1"/>
    <col min="3591" max="3840" width="8.7109375" style="314"/>
    <col min="3841" max="3841" width="11.7109375" style="314" customWidth="1"/>
    <col min="3842" max="3842" width="14" style="314" customWidth="1"/>
    <col min="3843" max="3843" width="8.7109375" style="314"/>
    <col min="3844" max="3846" width="11" style="314" customWidth="1"/>
    <col min="3847" max="4096" width="8.7109375" style="314"/>
    <col min="4097" max="4097" width="11.7109375" style="314" customWidth="1"/>
    <col min="4098" max="4098" width="14" style="314" customWidth="1"/>
    <col min="4099" max="4099" width="8.7109375" style="314"/>
    <col min="4100" max="4102" width="11" style="314" customWidth="1"/>
    <col min="4103" max="4352" width="8.7109375" style="314"/>
    <col min="4353" max="4353" width="11.7109375" style="314" customWidth="1"/>
    <col min="4354" max="4354" width="14" style="314" customWidth="1"/>
    <col min="4355" max="4355" width="8.7109375" style="314"/>
    <col min="4356" max="4358" width="11" style="314" customWidth="1"/>
    <col min="4359" max="4608" width="8.7109375" style="314"/>
    <col min="4609" max="4609" width="11.7109375" style="314" customWidth="1"/>
    <col min="4610" max="4610" width="14" style="314" customWidth="1"/>
    <col min="4611" max="4611" width="8.7109375" style="314"/>
    <col min="4612" max="4614" width="11" style="314" customWidth="1"/>
    <col min="4615" max="4864" width="8.7109375" style="314"/>
    <col min="4865" max="4865" width="11.7109375" style="314" customWidth="1"/>
    <col min="4866" max="4866" width="14" style="314" customWidth="1"/>
    <col min="4867" max="4867" width="8.7109375" style="314"/>
    <col min="4868" max="4870" width="11" style="314" customWidth="1"/>
    <col min="4871" max="5120" width="8.7109375" style="314"/>
    <col min="5121" max="5121" width="11.7109375" style="314" customWidth="1"/>
    <col min="5122" max="5122" width="14" style="314" customWidth="1"/>
    <col min="5123" max="5123" width="8.7109375" style="314"/>
    <col min="5124" max="5126" width="11" style="314" customWidth="1"/>
    <col min="5127" max="5376" width="8.7109375" style="314"/>
    <col min="5377" max="5377" width="11.7109375" style="314" customWidth="1"/>
    <col min="5378" max="5378" width="14" style="314" customWidth="1"/>
    <col min="5379" max="5379" width="8.7109375" style="314"/>
    <col min="5380" max="5382" width="11" style="314" customWidth="1"/>
    <col min="5383" max="5632" width="8.7109375" style="314"/>
    <col min="5633" max="5633" width="11.7109375" style="314" customWidth="1"/>
    <col min="5634" max="5634" width="14" style="314" customWidth="1"/>
    <col min="5635" max="5635" width="8.7109375" style="314"/>
    <col min="5636" max="5638" width="11" style="314" customWidth="1"/>
    <col min="5639" max="5888" width="8.7109375" style="314"/>
    <col min="5889" max="5889" width="11.7109375" style="314" customWidth="1"/>
    <col min="5890" max="5890" width="14" style="314" customWidth="1"/>
    <col min="5891" max="5891" width="8.7109375" style="314"/>
    <col min="5892" max="5894" width="11" style="314" customWidth="1"/>
    <col min="5895" max="6144" width="8.7109375" style="314"/>
    <col min="6145" max="6145" width="11.7109375" style="314" customWidth="1"/>
    <col min="6146" max="6146" width="14" style="314" customWidth="1"/>
    <col min="6147" max="6147" width="8.7109375" style="314"/>
    <col min="6148" max="6150" width="11" style="314" customWidth="1"/>
    <col min="6151" max="6400" width="8.7109375" style="314"/>
    <col min="6401" max="6401" width="11.7109375" style="314" customWidth="1"/>
    <col min="6402" max="6402" width="14" style="314" customWidth="1"/>
    <col min="6403" max="6403" width="8.7109375" style="314"/>
    <col min="6404" max="6406" width="11" style="314" customWidth="1"/>
    <col min="6407" max="6656" width="8.7109375" style="314"/>
    <col min="6657" max="6657" width="11.7109375" style="314" customWidth="1"/>
    <col min="6658" max="6658" width="14" style="314" customWidth="1"/>
    <col min="6659" max="6659" width="8.7109375" style="314"/>
    <col min="6660" max="6662" width="11" style="314" customWidth="1"/>
    <col min="6663" max="6912" width="8.7109375" style="314"/>
    <col min="6913" max="6913" width="11.7109375" style="314" customWidth="1"/>
    <col min="6914" max="6914" width="14" style="314" customWidth="1"/>
    <col min="6915" max="6915" width="8.7109375" style="314"/>
    <col min="6916" max="6918" width="11" style="314" customWidth="1"/>
    <col min="6919" max="7168" width="8.7109375" style="314"/>
    <col min="7169" max="7169" width="11.7109375" style="314" customWidth="1"/>
    <col min="7170" max="7170" width="14" style="314" customWidth="1"/>
    <col min="7171" max="7171" width="8.7109375" style="314"/>
    <col min="7172" max="7174" width="11" style="314" customWidth="1"/>
    <col min="7175" max="7424" width="8.7109375" style="314"/>
    <col min="7425" max="7425" width="11.7109375" style="314" customWidth="1"/>
    <col min="7426" max="7426" width="14" style="314" customWidth="1"/>
    <col min="7427" max="7427" width="8.7109375" style="314"/>
    <col min="7428" max="7430" width="11" style="314" customWidth="1"/>
    <col min="7431" max="7680" width="8.7109375" style="314"/>
    <col min="7681" max="7681" width="11.7109375" style="314" customWidth="1"/>
    <col min="7682" max="7682" width="14" style="314" customWidth="1"/>
    <col min="7683" max="7683" width="8.7109375" style="314"/>
    <col min="7684" max="7686" width="11" style="314" customWidth="1"/>
    <col min="7687" max="7936" width="8.7109375" style="314"/>
    <col min="7937" max="7937" width="11.7109375" style="314" customWidth="1"/>
    <col min="7938" max="7938" width="14" style="314" customWidth="1"/>
    <col min="7939" max="7939" width="8.7109375" style="314"/>
    <col min="7940" max="7942" width="11" style="314" customWidth="1"/>
    <col min="7943" max="8192" width="8.7109375" style="314"/>
    <col min="8193" max="8193" width="11.7109375" style="314" customWidth="1"/>
    <col min="8194" max="8194" width="14" style="314" customWidth="1"/>
    <col min="8195" max="8195" width="8.7109375" style="314"/>
    <col min="8196" max="8198" width="11" style="314" customWidth="1"/>
    <col min="8199" max="8448" width="8.7109375" style="314"/>
    <col min="8449" max="8449" width="11.7109375" style="314" customWidth="1"/>
    <col min="8450" max="8450" width="14" style="314" customWidth="1"/>
    <col min="8451" max="8451" width="8.7109375" style="314"/>
    <col min="8452" max="8454" width="11" style="314" customWidth="1"/>
    <col min="8455" max="8704" width="8.7109375" style="314"/>
    <col min="8705" max="8705" width="11.7109375" style="314" customWidth="1"/>
    <col min="8706" max="8706" width="14" style="314" customWidth="1"/>
    <col min="8707" max="8707" width="8.7109375" style="314"/>
    <col min="8708" max="8710" width="11" style="314" customWidth="1"/>
    <col min="8711" max="8960" width="8.7109375" style="314"/>
    <col min="8961" max="8961" width="11.7109375" style="314" customWidth="1"/>
    <col min="8962" max="8962" width="14" style="314" customWidth="1"/>
    <col min="8963" max="8963" width="8.7109375" style="314"/>
    <col min="8964" max="8966" width="11" style="314" customWidth="1"/>
    <col min="8967" max="9216" width="8.7109375" style="314"/>
    <col min="9217" max="9217" width="11.7109375" style="314" customWidth="1"/>
    <col min="9218" max="9218" width="14" style="314" customWidth="1"/>
    <col min="9219" max="9219" width="8.7109375" style="314"/>
    <col min="9220" max="9222" width="11" style="314" customWidth="1"/>
    <col min="9223" max="9472" width="8.7109375" style="314"/>
    <col min="9473" max="9473" width="11.7109375" style="314" customWidth="1"/>
    <col min="9474" max="9474" width="14" style="314" customWidth="1"/>
    <col min="9475" max="9475" width="8.7109375" style="314"/>
    <col min="9476" max="9478" width="11" style="314" customWidth="1"/>
    <col min="9479" max="9728" width="8.7109375" style="314"/>
    <col min="9729" max="9729" width="11.7109375" style="314" customWidth="1"/>
    <col min="9730" max="9730" width="14" style="314" customWidth="1"/>
    <col min="9731" max="9731" width="8.7109375" style="314"/>
    <col min="9732" max="9734" width="11" style="314" customWidth="1"/>
    <col min="9735" max="9984" width="8.7109375" style="314"/>
    <col min="9985" max="9985" width="11.7109375" style="314" customWidth="1"/>
    <col min="9986" max="9986" width="14" style="314" customWidth="1"/>
    <col min="9987" max="9987" width="8.7109375" style="314"/>
    <col min="9988" max="9990" width="11" style="314" customWidth="1"/>
    <col min="9991" max="10240" width="8.7109375" style="314"/>
    <col min="10241" max="10241" width="11.7109375" style="314" customWidth="1"/>
    <col min="10242" max="10242" width="14" style="314" customWidth="1"/>
    <col min="10243" max="10243" width="8.7109375" style="314"/>
    <col min="10244" max="10246" width="11" style="314" customWidth="1"/>
    <col min="10247" max="10496" width="8.7109375" style="314"/>
    <col min="10497" max="10497" width="11.7109375" style="314" customWidth="1"/>
    <col min="10498" max="10498" width="14" style="314" customWidth="1"/>
    <col min="10499" max="10499" width="8.7109375" style="314"/>
    <col min="10500" max="10502" width="11" style="314" customWidth="1"/>
    <col min="10503" max="10752" width="8.7109375" style="314"/>
    <col min="10753" max="10753" width="11.7109375" style="314" customWidth="1"/>
    <col min="10754" max="10754" width="14" style="314" customWidth="1"/>
    <col min="10755" max="10755" width="8.7109375" style="314"/>
    <col min="10756" max="10758" width="11" style="314" customWidth="1"/>
    <col min="10759" max="11008" width="8.7109375" style="314"/>
    <col min="11009" max="11009" width="11.7109375" style="314" customWidth="1"/>
    <col min="11010" max="11010" width="14" style="314" customWidth="1"/>
    <col min="11011" max="11011" width="8.7109375" style="314"/>
    <col min="11012" max="11014" width="11" style="314" customWidth="1"/>
    <col min="11015" max="11264" width="8.7109375" style="314"/>
    <col min="11265" max="11265" width="11.7109375" style="314" customWidth="1"/>
    <col min="11266" max="11266" width="14" style="314" customWidth="1"/>
    <col min="11267" max="11267" width="8.7109375" style="314"/>
    <col min="11268" max="11270" width="11" style="314" customWidth="1"/>
    <col min="11271" max="11520" width="8.7109375" style="314"/>
    <col min="11521" max="11521" width="11.7109375" style="314" customWidth="1"/>
    <col min="11522" max="11522" width="14" style="314" customWidth="1"/>
    <col min="11523" max="11523" width="8.7109375" style="314"/>
    <col min="11524" max="11526" width="11" style="314" customWidth="1"/>
    <col min="11527" max="11776" width="8.7109375" style="314"/>
    <col min="11777" max="11777" width="11.7109375" style="314" customWidth="1"/>
    <col min="11778" max="11778" width="14" style="314" customWidth="1"/>
    <col min="11779" max="11779" width="8.7109375" style="314"/>
    <col min="11780" max="11782" width="11" style="314" customWidth="1"/>
    <col min="11783" max="12032" width="8.7109375" style="314"/>
    <col min="12033" max="12033" width="11.7109375" style="314" customWidth="1"/>
    <col min="12034" max="12034" width="14" style="314" customWidth="1"/>
    <col min="12035" max="12035" width="8.7109375" style="314"/>
    <col min="12036" max="12038" width="11" style="314" customWidth="1"/>
    <col min="12039" max="12288" width="8.7109375" style="314"/>
    <col min="12289" max="12289" width="11.7109375" style="314" customWidth="1"/>
    <col min="12290" max="12290" width="14" style="314" customWidth="1"/>
    <col min="12291" max="12291" width="8.7109375" style="314"/>
    <col min="12292" max="12294" width="11" style="314" customWidth="1"/>
    <col min="12295" max="12544" width="8.7109375" style="314"/>
    <col min="12545" max="12545" width="11.7109375" style="314" customWidth="1"/>
    <col min="12546" max="12546" width="14" style="314" customWidth="1"/>
    <col min="12547" max="12547" width="8.7109375" style="314"/>
    <col min="12548" max="12550" width="11" style="314" customWidth="1"/>
    <col min="12551" max="12800" width="8.7109375" style="314"/>
    <col min="12801" max="12801" width="11.7109375" style="314" customWidth="1"/>
    <col min="12802" max="12802" width="14" style="314" customWidth="1"/>
    <col min="12803" max="12803" width="8.7109375" style="314"/>
    <col min="12804" max="12806" width="11" style="314" customWidth="1"/>
    <col min="12807" max="13056" width="8.7109375" style="314"/>
    <col min="13057" max="13057" width="11.7109375" style="314" customWidth="1"/>
    <col min="13058" max="13058" width="14" style="314" customWidth="1"/>
    <col min="13059" max="13059" width="8.7109375" style="314"/>
    <col min="13060" max="13062" width="11" style="314" customWidth="1"/>
    <col min="13063" max="13312" width="8.7109375" style="314"/>
    <col min="13313" max="13313" width="11.7109375" style="314" customWidth="1"/>
    <col min="13314" max="13314" width="14" style="314" customWidth="1"/>
    <col min="13315" max="13315" width="8.7109375" style="314"/>
    <col min="13316" max="13318" width="11" style="314" customWidth="1"/>
    <col min="13319" max="13568" width="8.7109375" style="314"/>
    <col min="13569" max="13569" width="11.7109375" style="314" customWidth="1"/>
    <col min="13570" max="13570" width="14" style="314" customWidth="1"/>
    <col min="13571" max="13571" width="8.7109375" style="314"/>
    <col min="13572" max="13574" width="11" style="314" customWidth="1"/>
    <col min="13575" max="13824" width="8.7109375" style="314"/>
    <col min="13825" max="13825" width="11.7109375" style="314" customWidth="1"/>
    <col min="13826" max="13826" width="14" style="314" customWidth="1"/>
    <col min="13827" max="13827" width="8.7109375" style="314"/>
    <col min="13828" max="13830" width="11" style="314" customWidth="1"/>
    <col min="13831" max="14080" width="8.7109375" style="314"/>
    <col min="14081" max="14081" width="11.7109375" style="314" customWidth="1"/>
    <col min="14082" max="14082" width="14" style="314" customWidth="1"/>
    <col min="14083" max="14083" width="8.7109375" style="314"/>
    <col min="14084" max="14086" width="11" style="314" customWidth="1"/>
    <col min="14087" max="14336" width="8.7109375" style="314"/>
    <col min="14337" max="14337" width="11.7109375" style="314" customWidth="1"/>
    <col min="14338" max="14338" width="14" style="314" customWidth="1"/>
    <col min="14339" max="14339" width="8.7109375" style="314"/>
    <col min="14340" max="14342" width="11" style="314" customWidth="1"/>
    <col min="14343" max="14592" width="8.7109375" style="314"/>
    <col min="14593" max="14593" width="11.7109375" style="314" customWidth="1"/>
    <col min="14594" max="14594" width="14" style="314" customWidth="1"/>
    <col min="14595" max="14595" width="8.7109375" style="314"/>
    <col min="14596" max="14598" width="11" style="314" customWidth="1"/>
    <col min="14599" max="14848" width="8.7109375" style="314"/>
    <col min="14849" max="14849" width="11.7109375" style="314" customWidth="1"/>
    <col min="14850" max="14850" width="14" style="314" customWidth="1"/>
    <col min="14851" max="14851" width="8.7109375" style="314"/>
    <col min="14852" max="14854" width="11" style="314" customWidth="1"/>
    <col min="14855" max="15104" width="8.7109375" style="314"/>
    <col min="15105" max="15105" width="11.7109375" style="314" customWidth="1"/>
    <col min="15106" max="15106" width="14" style="314" customWidth="1"/>
    <col min="15107" max="15107" width="8.7109375" style="314"/>
    <col min="15108" max="15110" width="11" style="314" customWidth="1"/>
    <col min="15111" max="15360" width="8.7109375" style="314"/>
    <col min="15361" max="15361" width="11.7109375" style="314" customWidth="1"/>
    <col min="15362" max="15362" width="14" style="314" customWidth="1"/>
    <col min="15363" max="15363" width="8.7109375" style="314"/>
    <col min="15364" max="15366" width="11" style="314" customWidth="1"/>
    <col min="15367" max="15616" width="8.7109375" style="314"/>
    <col min="15617" max="15617" width="11.7109375" style="314" customWidth="1"/>
    <col min="15618" max="15618" width="14" style="314" customWidth="1"/>
    <col min="15619" max="15619" width="8.7109375" style="314"/>
    <col min="15620" max="15622" width="11" style="314" customWidth="1"/>
    <col min="15623" max="15872" width="8.7109375" style="314"/>
    <col min="15873" max="15873" width="11.7109375" style="314" customWidth="1"/>
    <col min="15874" max="15874" width="14" style="314" customWidth="1"/>
    <col min="15875" max="15875" width="8.7109375" style="314"/>
    <col min="15876" max="15878" width="11" style="314" customWidth="1"/>
    <col min="15879" max="16128" width="8.7109375" style="314"/>
    <col min="16129" max="16129" width="11.7109375" style="314" customWidth="1"/>
    <col min="16130" max="16130" width="14" style="314" customWidth="1"/>
    <col min="16131" max="16131" width="8.7109375" style="314"/>
    <col min="16132" max="16134" width="11" style="314" customWidth="1"/>
    <col min="16135" max="16384" width="8.7109375" style="314"/>
  </cols>
  <sheetData>
    <row r="1" spans="1:56" s="1025" customFormat="1" ht="47.25">
      <c r="A1" s="1024" t="s">
        <v>181</v>
      </c>
      <c r="B1" s="1024" t="s">
        <v>793</v>
      </c>
      <c r="C1" s="1024" t="s">
        <v>794</v>
      </c>
      <c r="D1" s="1024" t="s">
        <v>795</v>
      </c>
      <c r="E1" s="1024" t="s">
        <v>796</v>
      </c>
      <c r="F1" s="1028" t="s">
        <v>597</v>
      </c>
      <c r="G1" s="1024" t="s">
        <v>797</v>
      </c>
      <c r="H1" s="1024" t="s">
        <v>798</v>
      </c>
      <c r="I1" s="1024" t="s">
        <v>799</v>
      </c>
      <c r="J1" s="1024" t="s">
        <v>800</v>
      </c>
      <c r="K1" s="1024" t="s">
        <v>801</v>
      </c>
      <c r="L1" s="1024" t="s">
        <v>802</v>
      </c>
      <c r="M1" s="1024" t="s">
        <v>803</v>
      </c>
      <c r="N1" s="1024" t="s">
        <v>804</v>
      </c>
      <c r="O1" s="1024" t="s">
        <v>805</v>
      </c>
      <c r="P1" s="1024" t="s">
        <v>806</v>
      </c>
      <c r="Q1" s="1024" t="s">
        <v>807</v>
      </c>
      <c r="R1" s="1024" t="s">
        <v>808</v>
      </c>
      <c r="S1" s="1024" t="s">
        <v>809</v>
      </c>
      <c r="T1" s="1024" t="s">
        <v>810</v>
      </c>
      <c r="U1" s="1024" t="s">
        <v>811</v>
      </c>
      <c r="V1" s="1024" t="s">
        <v>812</v>
      </c>
      <c r="W1" s="1024" t="s">
        <v>813</v>
      </c>
      <c r="X1" s="1024" t="s">
        <v>814</v>
      </c>
      <c r="Y1" s="1024" t="s">
        <v>815</v>
      </c>
      <c r="Z1" s="1024" t="s">
        <v>816</v>
      </c>
      <c r="AA1" s="1024" t="s">
        <v>817</v>
      </c>
      <c r="AB1" s="1024" t="s">
        <v>818</v>
      </c>
      <c r="AC1" s="1024" t="s">
        <v>819</v>
      </c>
      <c r="AD1" s="1024" t="s">
        <v>820</v>
      </c>
      <c r="AE1" s="1024" t="s">
        <v>821</v>
      </c>
      <c r="AF1" s="1024" t="s">
        <v>822</v>
      </c>
      <c r="AG1" s="1024" t="s">
        <v>823</v>
      </c>
      <c r="AH1" s="1024" t="s">
        <v>824</v>
      </c>
      <c r="AI1" s="1024" t="s">
        <v>825</v>
      </c>
      <c r="AJ1" s="1024" t="s">
        <v>826</v>
      </c>
      <c r="AK1" s="1024" t="s">
        <v>827</v>
      </c>
      <c r="AL1" s="1024" t="s">
        <v>828</v>
      </c>
      <c r="AM1" s="1024" t="s">
        <v>829</v>
      </c>
      <c r="AN1" s="1024" t="s">
        <v>830</v>
      </c>
      <c r="AO1" s="1024" t="s">
        <v>831</v>
      </c>
      <c r="AP1" s="1024" t="s">
        <v>832</v>
      </c>
      <c r="AQ1" s="1024" t="s">
        <v>833</v>
      </c>
      <c r="AR1" s="1024" t="s">
        <v>834</v>
      </c>
      <c r="AS1" s="1024" t="s">
        <v>835</v>
      </c>
      <c r="AT1" s="1024" t="s">
        <v>836</v>
      </c>
      <c r="AU1" s="1024" t="s">
        <v>837</v>
      </c>
      <c r="AV1" s="1024" t="s">
        <v>838</v>
      </c>
      <c r="AW1" s="1024" t="s">
        <v>839</v>
      </c>
      <c r="AX1" s="1024" t="s">
        <v>840</v>
      </c>
      <c r="AY1" s="1024" t="s">
        <v>841</v>
      </c>
      <c r="AZ1" s="1024" t="s">
        <v>842</v>
      </c>
      <c r="BA1" s="1024" t="s">
        <v>843</v>
      </c>
      <c r="BB1" s="1024" t="s">
        <v>844</v>
      </c>
      <c r="BC1" s="1024" t="s">
        <v>845</v>
      </c>
      <c r="BD1" s="1024" t="s">
        <v>846</v>
      </c>
    </row>
    <row r="2" spans="1:56">
      <c r="A2" s="313">
        <v>44593</v>
      </c>
      <c r="B2" s="314">
        <v>1</v>
      </c>
      <c r="C2" s="1021">
        <f t="shared" ref="C2:C33" si="0">IFERROR(AVERAGE(G2:IV2), "")</f>
        <v>3.3333333333333333E-2</v>
      </c>
      <c r="D2" s="1022">
        <f t="shared" ref="D2:D33" si="1">IF(COUNT(G2:IV2)=0, "", COUNT(G2:IV2))</f>
        <v>6</v>
      </c>
      <c r="E2" s="1022">
        <f t="shared" ref="E2:E33" si="2">IF(F2="", "", MAX(G2:IV2)-MIN(G2:IV2))</f>
        <v>0.13</v>
      </c>
      <c r="F2" s="1029">
        <f t="shared" ref="F2:F33" si="3">IFERROR(STDEV(G2:IV2), "")</f>
        <v>4.5018514709691038E-2</v>
      </c>
      <c r="G2" s="1026">
        <v>0.03</v>
      </c>
      <c r="H2" s="1023">
        <v>0.05</v>
      </c>
      <c r="I2" s="1023">
        <v>0.1</v>
      </c>
      <c r="J2" s="1023">
        <v>0</v>
      </c>
      <c r="K2" s="1023">
        <v>0.05</v>
      </c>
      <c r="L2" s="1023">
        <v>-0.03</v>
      </c>
      <c r="M2" s="1023"/>
      <c r="N2" s="1023"/>
      <c r="O2" s="1023"/>
      <c r="P2" s="1023"/>
      <c r="Q2" s="1023"/>
      <c r="R2" s="1023"/>
      <c r="S2" s="1023"/>
      <c r="T2" s="1023"/>
      <c r="U2" s="1023"/>
      <c r="V2" s="1023"/>
      <c r="W2" s="1023"/>
      <c r="X2" s="1023"/>
      <c r="Y2" s="1023"/>
      <c r="Z2" s="1023"/>
      <c r="AA2" s="1023"/>
      <c r="AB2" s="1023"/>
      <c r="AC2" s="1023"/>
      <c r="AD2" s="1023"/>
      <c r="AE2" s="1023"/>
      <c r="AF2" s="1023"/>
      <c r="AG2" s="1023"/>
      <c r="AH2" s="1023"/>
      <c r="AI2" s="1023"/>
      <c r="AJ2" s="1023"/>
      <c r="AK2" s="1023"/>
      <c r="AL2" s="1023"/>
      <c r="AM2" s="1023"/>
      <c r="AN2" s="1023"/>
      <c r="AO2" s="1023"/>
      <c r="AP2" s="1023"/>
      <c r="AQ2" s="1023"/>
      <c r="AR2" s="1023"/>
      <c r="AS2" s="1023"/>
      <c r="AT2" s="1023"/>
      <c r="AU2" s="1023"/>
      <c r="AV2" s="1023"/>
      <c r="AW2" s="1023"/>
      <c r="AX2" s="1023"/>
      <c r="AY2" s="1023"/>
      <c r="AZ2" s="1023"/>
      <c r="BA2" s="1023"/>
      <c r="BB2" s="1023"/>
      <c r="BC2" s="1023"/>
      <c r="BD2" s="1023"/>
    </row>
    <row r="3" spans="1:56">
      <c r="A3" s="313">
        <v>44594</v>
      </c>
      <c r="B3" s="314">
        <v>2</v>
      </c>
      <c r="C3" s="315">
        <f t="shared" si="0"/>
        <v>108.83333333333333</v>
      </c>
      <c r="D3" s="316">
        <f t="shared" si="1"/>
        <v>6</v>
      </c>
      <c r="E3" s="316">
        <f t="shared" si="2"/>
        <v>34</v>
      </c>
      <c r="F3" s="1030">
        <f t="shared" si="3"/>
        <v>13.197221929886066</v>
      </c>
      <c r="G3" s="1027">
        <v>82</v>
      </c>
      <c r="H3" s="235">
        <v>113</v>
      </c>
      <c r="I3" s="235">
        <v>114</v>
      </c>
      <c r="J3" s="235">
        <v>116</v>
      </c>
      <c r="K3" s="235">
        <v>115</v>
      </c>
      <c r="L3" s="235">
        <v>113</v>
      </c>
      <c r="M3" s="235"/>
      <c r="N3" s="235"/>
      <c r="O3" s="235"/>
      <c r="P3" s="235"/>
      <c r="Q3" s="235"/>
      <c r="R3" s="235"/>
      <c r="S3" s="235"/>
      <c r="T3" s="235"/>
      <c r="U3" s="235"/>
      <c r="V3" s="235"/>
      <c r="W3" s="235"/>
      <c r="X3" s="235"/>
      <c r="Y3" s="235"/>
      <c r="Z3" s="235"/>
      <c r="AA3" s="235"/>
      <c r="AB3" s="235"/>
      <c r="AC3" s="235"/>
      <c r="AD3" s="235"/>
      <c r="AE3" s="235"/>
      <c r="AF3" s="235"/>
      <c r="AG3" s="235"/>
      <c r="AH3" s="235"/>
      <c r="AI3" s="235"/>
      <c r="AJ3" s="235"/>
      <c r="AK3" s="235"/>
      <c r="AL3" s="235"/>
      <c r="AM3" s="235"/>
      <c r="AN3" s="235"/>
      <c r="AO3" s="235"/>
      <c r="AP3" s="235"/>
      <c r="AQ3" s="235"/>
      <c r="AR3" s="235"/>
      <c r="AS3" s="235"/>
      <c r="AT3" s="235"/>
      <c r="AU3" s="235"/>
      <c r="AV3" s="235"/>
      <c r="AW3" s="235"/>
      <c r="AX3" s="235"/>
      <c r="AY3" s="235"/>
      <c r="AZ3" s="235"/>
      <c r="BA3" s="235"/>
      <c r="BB3" s="235"/>
      <c r="BC3" s="235"/>
      <c r="BD3" s="235"/>
    </row>
    <row r="4" spans="1:56">
      <c r="A4" s="313">
        <v>44595</v>
      </c>
      <c r="B4" s="314">
        <v>3</v>
      </c>
      <c r="C4" s="315">
        <f t="shared" si="0"/>
        <v>113</v>
      </c>
      <c r="D4" s="316">
        <f t="shared" si="1"/>
        <v>6</v>
      </c>
      <c r="E4" s="316">
        <f t="shared" si="2"/>
        <v>7</v>
      </c>
      <c r="F4" s="1030">
        <f t="shared" si="3"/>
        <v>2.5298221281347035</v>
      </c>
      <c r="G4" s="1027">
        <v>109</v>
      </c>
      <c r="H4" s="235">
        <v>112</v>
      </c>
      <c r="I4" s="235">
        <v>114</v>
      </c>
      <c r="J4" s="235">
        <v>115</v>
      </c>
      <c r="K4" s="235">
        <v>116</v>
      </c>
      <c r="L4" s="235">
        <v>112</v>
      </c>
      <c r="M4" s="235"/>
      <c r="N4" s="235"/>
      <c r="O4" s="235"/>
      <c r="P4" s="235"/>
      <c r="Q4" s="235"/>
      <c r="R4" s="235"/>
      <c r="S4" s="235"/>
      <c r="T4" s="235"/>
      <c r="U4" s="235"/>
      <c r="V4" s="235"/>
      <c r="W4" s="235"/>
      <c r="X4" s="235"/>
      <c r="Y4" s="235"/>
      <c r="Z4" s="235"/>
      <c r="AA4" s="235"/>
      <c r="AB4" s="235"/>
      <c r="AC4" s="235"/>
      <c r="AD4" s="235"/>
      <c r="AE4" s="235"/>
      <c r="AF4" s="235"/>
      <c r="AG4" s="235"/>
      <c r="AH4" s="235"/>
      <c r="AI4" s="235"/>
      <c r="AJ4" s="235"/>
      <c r="AK4" s="235"/>
      <c r="AL4" s="235"/>
      <c r="AM4" s="235"/>
      <c r="AN4" s="235"/>
      <c r="AO4" s="235"/>
      <c r="AP4" s="235"/>
      <c r="AQ4" s="235"/>
      <c r="AR4" s="235"/>
      <c r="AS4" s="235"/>
      <c r="AT4" s="235"/>
      <c r="AU4" s="235"/>
      <c r="AV4" s="235"/>
      <c r="AW4" s="235"/>
      <c r="AX4" s="235"/>
      <c r="AY4" s="235"/>
      <c r="AZ4" s="235"/>
      <c r="BA4" s="235"/>
      <c r="BB4" s="235"/>
      <c r="BC4" s="235"/>
      <c r="BD4" s="235"/>
    </row>
    <row r="5" spans="1:56">
      <c r="A5" s="313">
        <v>44596</v>
      </c>
      <c r="B5" s="314">
        <v>4</v>
      </c>
      <c r="C5" s="315">
        <f t="shared" si="0"/>
        <v>113.14285714285714</v>
      </c>
      <c r="D5" s="316">
        <f t="shared" si="1"/>
        <v>7</v>
      </c>
      <c r="E5" s="316">
        <f t="shared" si="2"/>
        <v>11</v>
      </c>
      <c r="F5" s="1030">
        <f t="shared" si="3"/>
        <v>3.8047589248453675</v>
      </c>
      <c r="G5" s="1027">
        <v>112</v>
      </c>
      <c r="H5" s="235">
        <v>115</v>
      </c>
      <c r="I5" s="235">
        <v>115</v>
      </c>
      <c r="J5" s="235">
        <v>114</v>
      </c>
      <c r="K5" s="235">
        <v>115</v>
      </c>
      <c r="L5" s="235">
        <v>116</v>
      </c>
      <c r="M5" s="235">
        <v>105</v>
      </c>
      <c r="N5" s="235"/>
      <c r="O5" s="235"/>
      <c r="P5" s="235"/>
      <c r="Q5" s="235"/>
      <c r="R5" s="235"/>
      <c r="S5" s="235"/>
      <c r="T5" s="235"/>
      <c r="U5" s="235"/>
      <c r="V5" s="235"/>
      <c r="W5" s="235"/>
      <c r="X5" s="235"/>
      <c r="Y5" s="235"/>
      <c r="Z5" s="235"/>
      <c r="AA5" s="235"/>
      <c r="AB5" s="235"/>
      <c r="AC5" s="235"/>
      <c r="AD5" s="235"/>
      <c r="AE5" s="235"/>
      <c r="AF5" s="235"/>
      <c r="AG5" s="235"/>
      <c r="AH5" s="235"/>
      <c r="AI5" s="235"/>
      <c r="AJ5" s="235"/>
      <c r="AK5" s="235"/>
      <c r="AL5" s="235"/>
      <c r="AM5" s="235"/>
      <c r="AN5" s="235"/>
      <c r="AO5" s="235"/>
      <c r="AP5" s="235"/>
      <c r="AQ5" s="235"/>
      <c r="AR5" s="235"/>
      <c r="AS5" s="235"/>
      <c r="AT5" s="235"/>
      <c r="AU5" s="235"/>
      <c r="AV5" s="235"/>
      <c r="AW5" s="235"/>
      <c r="AX5" s="235"/>
      <c r="AY5" s="235"/>
      <c r="AZ5" s="235"/>
      <c r="BA5" s="235"/>
      <c r="BB5" s="235"/>
      <c r="BC5" s="235"/>
      <c r="BD5" s="235"/>
    </row>
    <row r="6" spans="1:56">
      <c r="A6" s="313">
        <v>44597</v>
      </c>
      <c r="B6" s="314">
        <v>5</v>
      </c>
      <c r="C6" s="315">
        <f t="shared" si="0"/>
        <v>109.57142857142857</v>
      </c>
      <c r="D6" s="316">
        <f t="shared" si="1"/>
        <v>7</v>
      </c>
      <c r="E6" s="316">
        <f t="shared" si="2"/>
        <v>40</v>
      </c>
      <c r="F6" s="1030">
        <f t="shared" si="3"/>
        <v>14.397420403868013</v>
      </c>
      <c r="G6" s="1027">
        <v>77</v>
      </c>
      <c r="H6" s="235">
        <v>114</v>
      </c>
      <c r="I6" s="235">
        <v>115</v>
      </c>
      <c r="J6" s="235">
        <v>114</v>
      </c>
      <c r="K6" s="235">
        <v>115</v>
      </c>
      <c r="L6" s="235">
        <v>115</v>
      </c>
      <c r="M6" s="235">
        <v>117</v>
      </c>
      <c r="N6" s="235"/>
      <c r="O6" s="235"/>
      <c r="P6" s="235"/>
      <c r="Q6" s="235"/>
      <c r="R6" s="235"/>
      <c r="S6" s="235"/>
      <c r="T6" s="235"/>
      <c r="U6" s="235"/>
      <c r="V6" s="235"/>
      <c r="W6" s="235"/>
      <c r="X6" s="235"/>
      <c r="Y6" s="235"/>
      <c r="Z6" s="235"/>
      <c r="AA6" s="235"/>
      <c r="AB6" s="235"/>
      <c r="AC6" s="235"/>
      <c r="AD6" s="235"/>
      <c r="AE6" s="235"/>
      <c r="AF6" s="235"/>
      <c r="AG6" s="235"/>
      <c r="AH6" s="235"/>
      <c r="AI6" s="235"/>
      <c r="AJ6" s="235"/>
      <c r="AK6" s="235"/>
      <c r="AL6" s="235"/>
      <c r="AM6" s="235"/>
      <c r="AN6" s="235"/>
      <c r="AO6" s="235"/>
      <c r="AP6" s="235"/>
      <c r="AQ6" s="235"/>
      <c r="AR6" s="235"/>
      <c r="AS6" s="235"/>
      <c r="AT6" s="235"/>
      <c r="AU6" s="235"/>
      <c r="AV6" s="235"/>
      <c r="AW6" s="235"/>
      <c r="AX6" s="235"/>
      <c r="AY6" s="235"/>
      <c r="AZ6" s="235"/>
      <c r="BA6" s="235"/>
      <c r="BB6" s="235"/>
      <c r="BC6" s="235"/>
      <c r="BD6" s="235"/>
    </row>
    <row r="7" spans="1:56">
      <c r="A7" s="313">
        <v>44598</v>
      </c>
      <c r="B7" s="314">
        <v>6</v>
      </c>
      <c r="C7" s="315">
        <f t="shared" si="0"/>
        <v>105.44444444444444</v>
      </c>
      <c r="D7" s="316">
        <f t="shared" si="1"/>
        <v>9</v>
      </c>
      <c r="E7" s="316">
        <f t="shared" si="2"/>
        <v>67</v>
      </c>
      <c r="F7" s="1030">
        <f t="shared" si="3"/>
        <v>21.662820171385288</v>
      </c>
      <c r="G7" s="1027">
        <v>48</v>
      </c>
      <c r="H7" s="235">
        <v>113</v>
      </c>
      <c r="I7" s="235">
        <v>114</v>
      </c>
      <c r="J7" s="235">
        <v>114</v>
      </c>
      <c r="K7" s="235">
        <v>112</v>
      </c>
      <c r="L7" s="235">
        <v>113</v>
      </c>
      <c r="M7" s="235">
        <v>113</v>
      </c>
      <c r="N7" s="235">
        <v>115</v>
      </c>
      <c r="O7" s="235">
        <v>107</v>
      </c>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5"/>
      <c r="AY7" s="235"/>
      <c r="AZ7" s="235"/>
      <c r="BA7" s="235"/>
      <c r="BB7" s="235"/>
      <c r="BC7" s="235"/>
      <c r="BD7" s="235"/>
    </row>
    <row r="8" spans="1:56">
      <c r="A8" s="313">
        <v>44599</v>
      </c>
      <c r="B8" s="314">
        <v>7</v>
      </c>
      <c r="C8" s="315">
        <f t="shared" si="0"/>
        <v>101.875</v>
      </c>
      <c r="D8" s="316">
        <f t="shared" si="1"/>
        <v>8</v>
      </c>
      <c r="E8" s="316">
        <f t="shared" si="2"/>
        <v>84</v>
      </c>
      <c r="F8" s="1030">
        <f t="shared" si="3"/>
        <v>29.098048535450424</v>
      </c>
      <c r="G8" s="1027">
        <v>30</v>
      </c>
      <c r="H8" s="235">
        <v>109</v>
      </c>
      <c r="I8" s="235">
        <v>111</v>
      </c>
      <c r="J8" s="235">
        <v>112</v>
      </c>
      <c r="K8" s="235">
        <v>114</v>
      </c>
      <c r="L8" s="235">
        <v>114</v>
      </c>
      <c r="M8" s="235">
        <v>114</v>
      </c>
      <c r="N8" s="235">
        <v>111</v>
      </c>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5"/>
      <c r="AY8" s="235"/>
      <c r="AZ8" s="235"/>
      <c r="BA8" s="235"/>
      <c r="BB8" s="235"/>
      <c r="BC8" s="235"/>
      <c r="BD8" s="235"/>
    </row>
    <row r="9" spans="1:56">
      <c r="A9" s="313">
        <v>44600</v>
      </c>
      <c r="B9" s="314">
        <v>8</v>
      </c>
      <c r="C9" s="315">
        <f t="shared" si="0"/>
        <v>109.42857142857143</v>
      </c>
      <c r="D9" s="316">
        <f t="shared" si="1"/>
        <v>7</v>
      </c>
      <c r="E9" s="316">
        <f t="shared" si="2"/>
        <v>12</v>
      </c>
      <c r="F9" s="1030">
        <f t="shared" si="3"/>
        <v>4.6853368024487798</v>
      </c>
      <c r="G9" s="1027">
        <v>102</v>
      </c>
      <c r="H9" s="235">
        <v>108</v>
      </c>
      <c r="I9" s="235">
        <v>110</v>
      </c>
      <c r="J9" s="235">
        <v>113</v>
      </c>
      <c r="K9" s="235">
        <v>114</v>
      </c>
      <c r="L9" s="235">
        <v>114</v>
      </c>
      <c r="M9" s="235">
        <v>105</v>
      </c>
      <c r="N9" s="235"/>
      <c r="O9" s="235"/>
      <c r="P9" s="235"/>
      <c r="Q9" s="235"/>
      <c r="R9" s="235"/>
      <c r="S9" s="235"/>
      <c r="T9" s="235"/>
      <c r="U9" s="235"/>
      <c r="V9" s="235"/>
      <c r="W9" s="235"/>
      <c r="X9" s="235"/>
      <c r="Y9" s="235"/>
      <c r="Z9" s="235"/>
      <c r="AA9" s="235"/>
      <c r="AB9" s="235"/>
      <c r="AC9" s="235"/>
      <c r="AD9" s="235"/>
      <c r="AE9" s="235"/>
      <c r="AF9" s="235"/>
      <c r="AG9" s="235"/>
      <c r="AH9" s="235"/>
      <c r="AI9" s="235"/>
      <c r="AJ9" s="235"/>
      <c r="AK9" s="235"/>
      <c r="AL9" s="235"/>
      <c r="AM9" s="235"/>
      <c r="AN9" s="235"/>
      <c r="AO9" s="235"/>
      <c r="AP9" s="235"/>
      <c r="AQ9" s="235"/>
      <c r="AR9" s="235"/>
      <c r="AS9" s="235"/>
      <c r="AT9" s="235"/>
      <c r="AU9" s="235"/>
      <c r="AV9" s="235"/>
      <c r="AW9" s="235"/>
      <c r="AX9" s="235"/>
      <c r="AY9" s="235"/>
      <c r="AZ9" s="235"/>
      <c r="BA9" s="235"/>
      <c r="BB9" s="235"/>
      <c r="BC9" s="235"/>
      <c r="BD9" s="235"/>
    </row>
    <row r="10" spans="1:56">
      <c r="A10" s="313">
        <v>44601</v>
      </c>
      <c r="B10" s="314">
        <v>9</v>
      </c>
      <c r="C10" s="315">
        <f t="shared" si="0"/>
        <v>107.85714285714286</v>
      </c>
      <c r="D10" s="316">
        <f t="shared" si="1"/>
        <v>7</v>
      </c>
      <c r="E10" s="316">
        <f t="shared" si="2"/>
        <v>51</v>
      </c>
      <c r="F10" s="1030">
        <f t="shared" si="3"/>
        <v>18.595954501168368</v>
      </c>
      <c r="G10" s="1027">
        <v>66</v>
      </c>
      <c r="H10" s="235">
        <v>115</v>
      </c>
      <c r="I10" s="235">
        <v>115</v>
      </c>
      <c r="J10" s="235">
        <v>116</v>
      </c>
      <c r="K10" s="235">
        <v>116</v>
      </c>
      <c r="L10" s="235">
        <v>117</v>
      </c>
      <c r="M10" s="235">
        <v>110</v>
      </c>
      <c r="N10" s="235"/>
      <c r="O10" s="235"/>
      <c r="P10" s="235"/>
      <c r="Q10" s="235"/>
      <c r="R10" s="235"/>
      <c r="S10" s="235"/>
      <c r="T10" s="235"/>
      <c r="U10" s="235"/>
      <c r="V10" s="235"/>
      <c r="W10" s="235"/>
      <c r="X10" s="235"/>
      <c r="Y10" s="235"/>
      <c r="Z10" s="235"/>
      <c r="AA10" s="235"/>
      <c r="AB10" s="235"/>
      <c r="AC10" s="235"/>
      <c r="AD10" s="235"/>
      <c r="AE10" s="235"/>
      <c r="AF10" s="235"/>
      <c r="AG10" s="235"/>
      <c r="AH10" s="235"/>
      <c r="AI10" s="235"/>
      <c r="AJ10" s="235"/>
      <c r="AK10" s="235"/>
      <c r="AL10" s="235"/>
      <c r="AM10" s="235"/>
      <c r="AN10" s="235"/>
      <c r="AO10" s="235"/>
      <c r="AP10" s="235"/>
      <c r="AQ10" s="235"/>
      <c r="AR10" s="235"/>
      <c r="AS10" s="235"/>
      <c r="AT10" s="235"/>
      <c r="AU10" s="235"/>
      <c r="AV10" s="235"/>
      <c r="AW10" s="235"/>
      <c r="AX10" s="235"/>
      <c r="AY10" s="235"/>
      <c r="AZ10" s="235"/>
      <c r="BA10" s="235"/>
      <c r="BB10" s="235"/>
      <c r="BC10" s="235"/>
      <c r="BD10" s="235"/>
    </row>
    <row r="11" spans="1:56">
      <c r="A11" s="313">
        <v>44602</v>
      </c>
      <c r="B11" s="314">
        <v>10</v>
      </c>
      <c r="C11" s="315">
        <f t="shared" si="0"/>
        <v>105.5</v>
      </c>
      <c r="D11" s="316">
        <f t="shared" si="1"/>
        <v>6</v>
      </c>
      <c r="E11" s="1007">
        <f t="shared" si="2"/>
        <v>58</v>
      </c>
      <c r="F11" s="1030">
        <f t="shared" si="3"/>
        <v>22.54550953072474</v>
      </c>
      <c r="G11" s="1027">
        <v>60</v>
      </c>
      <c r="H11" s="235">
        <v>113</v>
      </c>
      <c r="I11" s="235">
        <v>115</v>
      </c>
      <c r="J11" s="235">
        <v>118</v>
      </c>
      <c r="K11" s="235">
        <v>118</v>
      </c>
      <c r="L11" s="235">
        <v>109</v>
      </c>
      <c r="M11" s="235"/>
      <c r="N11" s="235"/>
      <c r="O11" s="235"/>
      <c r="P11" s="235"/>
      <c r="Q11" s="235"/>
      <c r="R11" s="235"/>
      <c r="S11" s="235"/>
      <c r="T11" s="235"/>
      <c r="U11" s="235"/>
      <c r="V11" s="235"/>
      <c r="W11" s="235"/>
      <c r="X11" s="235"/>
      <c r="Y11" s="235"/>
      <c r="Z11" s="235"/>
      <c r="AA11" s="235"/>
      <c r="AB11" s="235"/>
      <c r="AC11" s="235"/>
      <c r="AD11" s="235"/>
      <c r="AE11" s="235"/>
      <c r="AF11" s="235"/>
      <c r="AG11" s="235"/>
      <c r="AH11" s="235"/>
      <c r="AI11" s="235"/>
      <c r="AJ11" s="235"/>
      <c r="AK11" s="235"/>
      <c r="AL11" s="235"/>
      <c r="AM11" s="235"/>
      <c r="AN11" s="235"/>
      <c r="AO11" s="235"/>
      <c r="AP11" s="235"/>
      <c r="AQ11" s="235"/>
      <c r="AR11" s="235"/>
      <c r="AS11" s="235"/>
      <c r="AT11" s="235"/>
      <c r="AU11" s="235"/>
      <c r="AV11" s="235"/>
      <c r="AW11" s="235"/>
      <c r="AX11" s="235"/>
      <c r="AY11" s="235"/>
      <c r="AZ11" s="235"/>
      <c r="BA11" s="235"/>
      <c r="BB11" s="235"/>
      <c r="BC11" s="235"/>
      <c r="BD11" s="235"/>
    </row>
    <row r="12" spans="1:56">
      <c r="A12" s="313">
        <v>44603</v>
      </c>
      <c r="B12" s="314">
        <v>11</v>
      </c>
      <c r="C12" s="315">
        <f t="shared" si="0"/>
        <v>110.42857142857143</v>
      </c>
      <c r="D12" s="316">
        <f t="shared" si="1"/>
        <v>7</v>
      </c>
      <c r="E12" s="316">
        <f t="shared" si="2"/>
        <v>12</v>
      </c>
      <c r="F12" s="1030">
        <f t="shared" si="3"/>
        <v>4.4293394111365654</v>
      </c>
      <c r="G12" s="1027">
        <v>102</v>
      </c>
      <c r="H12" s="235">
        <v>109</v>
      </c>
      <c r="I12" s="235">
        <v>113</v>
      </c>
      <c r="J12" s="235">
        <v>114</v>
      </c>
      <c r="K12" s="235">
        <v>114</v>
      </c>
      <c r="L12" s="235">
        <v>113</v>
      </c>
      <c r="M12" s="235">
        <v>108</v>
      </c>
      <c r="N12" s="235"/>
      <c r="O12" s="235"/>
      <c r="P12" s="235"/>
      <c r="Q12" s="235"/>
      <c r="R12" s="235"/>
      <c r="S12" s="235"/>
      <c r="T12" s="235"/>
      <c r="U12" s="235"/>
      <c r="V12" s="235"/>
      <c r="W12" s="235"/>
      <c r="X12" s="235"/>
      <c r="Y12" s="235"/>
      <c r="Z12" s="235"/>
      <c r="AA12" s="235"/>
      <c r="AB12" s="235"/>
      <c r="AC12" s="235"/>
      <c r="AD12" s="235"/>
      <c r="AE12" s="235"/>
      <c r="AF12" s="235"/>
      <c r="AG12" s="235"/>
      <c r="AH12" s="235"/>
      <c r="AI12" s="235"/>
      <c r="AJ12" s="235"/>
      <c r="AK12" s="235"/>
      <c r="AL12" s="235"/>
      <c r="AM12" s="235"/>
      <c r="AN12" s="235"/>
      <c r="AO12" s="235"/>
      <c r="AP12" s="235"/>
      <c r="AQ12" s="235"/>
      <c r="AR12" s="235"/>
      <c r="AS12" s="235"/>
      <c r="AT12" s="235"/>
      <c r="AU12" s="235"/>
      <c r="AV12" s="235"/>
      <c r="AW12" s="235"/>
      <c r="AX12" s="235"/>
      <c r="AY12" s="235"/>
      <c r="AZ12" s="235"/>
      <c r="BA12" s="235"/>
      <c r="BB12" s="235"/>
      <c r="BC12" s="235"/>
      <c r="BD12" s="235"/>
    </row>
    <row r="13" spans="1:56">
      <c r="A13" s="313">
        <v>44604</v>
      </c>
      <c r="B13" s="314">
        <v>12</v>
      </c>
      <c r="C13" s="315">
        <f t="shared" si="0"/>
        <v>112.85714285714286</v>
      </c>
      <c r="D13" s="316">
        <f t="shared" si="1"/>
        <v>7</v>
      </c>
      <c r="E13" s="316">
        <f t="shared" si="2"/>
        <v>5</v>
      </c>
      <c r="F13" s="1030">
        <f t="shared" si="3"/>
        <v>1.9518001458970664</v>
      </c>
      <c r="G13" s="1027">
        <v>111</v>
      </c>
      <c r="H13" s="235">
        <v>111</v>
      </c>
      <c r="I13" s="235">
        <v>112</v>
      </c>
      <c r="J13" s="235">
        <v>113</v>
      </c>
      <c r="K13" s="235">
        <v>115</v>
      </c>
      <c r="L13" s="235">
        <v>116</v>
      </c>
      <c r="M13" s="235">
        <v>112</v>
      </c>
      <c r="N13" s="235"/>
      <c r="O13" s="235"/>
      <c r="P13" s="235"/>
      <c r="Q13" s="235"/>
      <c r="R13" s="235"/>
      <c r="S13" s="235"/>
      <c r="T13" s="235"/>
      <c r="U13" s="235"/>
      <c r="V13" s="235"/>
      <c r="W13" s="235"/>
      <c r="X13" s="235"/>
      <c r="Y13" s="235"/>
      <c r="Z13" s="235"/>
      <c r="AA13" s="235"/>
      <c r="AB13" s="235"/>
      <c r="AC13" s="235"/>
      <c r="AD13" s="235"/>
      <c r="AE13" s="235"/>
      <c r="AF13" s="235"/>
      <c r="AG13" s="235"/>
      <c r="AH13" s="235"/>
      <c r="AI13" s="235"/>
      <c r="AJ13" s="235"/>
      <c r="AK13" s="235"/>
      <c r="AL13" s="235"/>
      <c r="AM13" s="235"/>
      <c r="AN13" s="235"/>
      <c r="AO13" s="235"/>
      <c r="AP13" s="235"/>
      <c r="AQ13" s="235"/>
      <c r="AR13" s="235"/>
      <c r="AS13" s="235"/>
      <c r="AT13" s="235"/>
      <c r="AU13" s="235"/>
      <c r="AV13" s="235"/>
      <c r="AW13" s="235"/>
      <c r="AX13" s="235"/>
      <c r="AY13" s="235"/>
      <c r="AZ13" s="235"/>
      <c r="BA13" s="235"/>
      <c r="BB13" s="235"/>
      <c r="BC13" s="235"/>
      <c r="BD13" s="235"/>
    </row>
    <row r="14" spans="1:56">
      <c r="A14" s="313">
        <v>44605</v>
      </c>
      <c r="B14" s="314">
        <v>13</v>
      </c>
      <c r="C14" s="315">
        <f t="shared" si="0"/>
        <v>101.85714285714286</v>
      </c>
      <c r="D14" s="316">
        <f t="shared" si="1"/>
        <v>7</v>
      </c>
      <c r="E14" s="316">
        <f t="shared" si="2"/>
        <v>87</v>
      </c>
      <c r="F14" s="1030">
        <f t="shared" si="3"/>
        <v>32.16845541535254</v>
      </c>
      <c r="G14" s="1027">
        <v>29</v>
      </c>
      <c r="H14" s="235">
        <v>113</v>
      </c>
      <c r="I14" s="235">
        <v>114</v>
      </c>
      <c r="J14" s="235">
        <v>115</v>
      </c>
      <c r="K14" s="235">
        <v>115</v>
      </c>
      <c r="L14" s="235">
        <v>116</v>
      </c>
      <c r="M14" s="235">
        <v>111</v>
      </c>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5"/>
      <c r="AY14" s="235"/>
      <c r="AZ14" s="235"/>
      <c r="BA14" s="235"/>
      <c r="BB14" s="235"/>
      <c r="BC14" s="235"/>
      <c r="BD14" s="235"/>
    </row>
    <row r="15" spans="1:56">
      <c r="A15" s="313">
        <v>44606</v>
      </c>
      <c r="B15" s="314">
        <v>14</v>
      </c>
      <c r="C15" s="315">
        <f t="shared" si="0"/>
        <v>103.5</v>
      </c>
      <c r="D15" s="316">
        <f t="shared" si="1"/>
        <v>6</v>
      </c>
      <c r="E15" s="316">
        <f t="shared" si="2"/>
        <v>58</v>
      </c>
      <c r="F15" s="1030">
        <f t="shared" si="3"/>
        <v>22.394195676558692</v>
      </c>
      <c r="G15" s="1027">
        <v>58</v>
      </c>
      <c r="H15" s="235">
        <v>112</v>
      </c>
      <c r="I15" s="235">
        <v>111</v>
      </c>
      <c r="J15" s="235">
        <v>114</v>
      </c>
      <c r="K15" s="235">
        <v>116</v>
      </c>
      <c r="L15" s="235"/>
      <c r="M15" s="235">
        <v>110</v>
      </c>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5"/>
      <c r="AY15" s="235"/>
      <c r="AZ15" s="235"/>
      <c r="BA15" s="235"/>
      <c r="BB15" s="235"/>
      <c r="BC15" s="235"/>
      <c r="BD15" s="235"/>
    </row>
    <row r="16" spans="1:56">
      <c r="A16" s="313">
        <v>44607</v>
      </c>
      <c r="B16" s="314">
        <v>15</v>
      </c>
      <c r="C16" s="315">
        <f t="shared" si="0"/>
        <v>105.88888888888889</v>
      </c>
      <c r="D16" s="316">
        <f t="shared" si="1"/>
        <v>9</v>
      </c>
      <c r="E16" s="316">
        <f t="shared" si="2"/>
        <v>51</v>
      </c>
      <c r="F16" s="1030">
        <f t="shared" si="3"/>
        <v>15.846485765339624</v>
      </c>
      <c r="G16" s="1027">
        <v>64</v>
      </c>
      <c r="H16" s="235">
        <v>109</v>
      </c>
      <c r="I16" s="235">
        <v>109</v>
      </c>
      <c r="J16" s="235">
        <v>110</v>
      </c>
      <c r="K16" s="235">
        <v>112</v>
      </c>
      <c r="L16" s="235">
        <v>113</v>
      </c>
      <c r="M16" s="235">
        <v>112</v>
      </c>
      <c r="N16" s="235">
        <v>115</v>
      </c>
      <c r="O16" s="235">
        <v>109</v>
      </c>
      <c r="P16" s="235"/>
      <c r="Q16" s="235"/>
      <c r="R16" s="235"/>
      <c r="S16" s="235"/>
      <c r="T16" s="235"/>
      <c r="U16" s="235"/>
      <c r="V16" s="235"/>
      <c r="W16" s="235"/>
      <c r="X16" s="235"/>
      <c r="Y16" s="235"/>
      <c r="Z16" s="235"/>
      <c r="AA16" s="235"/>
      <c r="AB16" s="235"/>
      <c r="AC16" s="235"/>
      <c r="AD16" s="235"/>
      <c r="AE16" s="235"/>
      <c r="AF16" s="235"/>
      <c r="AG16" s="235"/>
      <c r="AH16" s="235"/>
      <c r="AI16" s="235"/>
      <c r="AJ16" s="235"/>
      <c r="AK16" s="235"/>
      <c r="AL16" s="235"/>
      <c r="AM16" s="235"/>
      <c r="AN16" s="235"/>
      <c r="AO16" s="235"/>
      <c r="AP16" s="235"/>
      <c r="AQ16" s="235"/>
      <c r="AR16" s="235"/>
      <c r="AS16" s="235"/>
      <c r="AT16" s="235"/>
      <c r="AU16" s="235"/>
      <c r="AV16" s="235"/>
      <c r="AW16" s="235"/>
      <c r="AX16" s="235"/>
      <c r="AY16" s="235"/>
      <c r="AZ16" s="235"/>
      <c r="BA16" s="235"/>
      <c r="BB16" s="235"/>
      <c r="BC16" s="235"/>
      <c r="BD16" s="235"/>
    </row>
    <row r="17" spans="1:56">
      <c r="A17" s="313">
        <v>44608</v>
      </c>
      <c r="B17" s="314">
        <v>16</v>
      </c>
      <c r="C17" s="315">
        <f t="shared" si="0"/>
        <v>98</v>
      </c>
      <c r="D17" s="316">
        <f t="shared" si="1"/>
        <v>8</v>
      </c>
      <c r="E17" s="316">
        <f t="shared" si="2"/>
        <v>95</v>
      </c>
      <c r="F17" s="1030">
        <f t="shared" si="3"/>
        <v>32.38165265349236</v>
      </c>
      <c r="G17" s="1027">
        <v>18</v>
      </c>
      <c r="H17" s="235">
        <v>108</v>
      </c>
      <c r="I17" s="235">
        <v>109</v>
      </c>
      <c r="J17" s="235">
        <v>111</v>
      </c>
      <c r="K17" s="235">
        <v>110</v>
      </c>
      <c r="L17" s="235">
        <v>108</v>
      </c>
      <c r="M17" s="235">
        <v>113</v>
      </c>
      <c r="N17" s="235">
        <v>107</v>
      </c>
      <c r="O17" s="235"/>
      <c r="P17" s="235"/>
      <c r="Q17" s="235"/>
      <c r="R17" s="235"/>
      <c r="S17" s="235"/>
      <c r="T17" s="235"/>
      <c r="U17" s="235"/>
      <c r="V17" s="235"/>
      <c r="W17" s="235"/>
      <c r="X17" s="235"/>
      <c r="Y17" s="235"/>
      <c r="Z17" s="235"/>
      <c r="AA17" s="235"/>
      <c r="AB17" s="235"/>
      <c r="AC17" s="235"/>
      <c r="AD17" s="235"/>
      <c r="AE17" s="235"/>
      <c r="AF17" s="235"/>
      <c r="AG17" s="235"/>
      <c r="AH17" s="235"/>
      <c r="AI17" s="235"/>
      <c r="AJ17" s="235"/>
      <c r="AK17" s="235"/>
      <c r="AL17" s="235"/>
      <c r="AM17" s="235"/>
      <c r="AN17" s="235"/>
      <c r="AO17" s="235"/>
      <c r="AP17" s="235"/>
      <c r="AQ17" s="235"/>
      <c r="AR17" s="235"/>
      <c r="AS17" s="235"/>
      <c r="AT17" s="235"/>
      <c r="AU17" s="235"/>
      <c r="AV17" s="235"/>
      <c r="AW17" s="235"/>
      <c r="AX17" s="235"/>
      <c r="AY17" s="235"/>
      <c r="AZ17" s="235"/>
      <c r="BA17" s="235"/>
      <c r="BB17" s="235"/>
      <c r="BC17" s="235"/>
      <c r="BD17" s="235"/>
    </row>
    <row r="18" spans="1:56">
      <c r="A18" s="313">
        <v>44609</v>
      </c>
      <c r="B18" s="314">
        <v>17</v>
      </c>
      <c r="C18" s="315">
        <f t="shared" si="0"/>
        <v>100.625</v>
      </c>
      <c r="D18" s="316">
        <f t="shared" si="1"/>
        <v>8</v>
      </c>
      <c r="E18" s="316">
        <f t="shared" si="2"/>
        <v>103</v>
      </c>
      <c r="F18" s="1030">
        <f t="shared" si="3"/>
        <v>35.49220236293359</v>
      </c>
      <c r="G18" s="1027">
        <v>13</v>
      </c>
      <c r="H18" s="235">
        <v>111</v>
      </c>
      <c r="I18" s="235">
        <v>112</v>
      </c>
      <c r="J18" s="235">
        <v>113</v>
      </c>
      <c r="K18" s="235">
        <v>115</v>
      </c>
      <c r="L18" s="235">
        <v>116</v>
      </c>
      <c r="M18" s="235">
        <v>116</v>
      </c>
      <c r="N18" s="235">
        <v>109</v>
      </c>
      <c r="O18" s="235"/>
      <c r="P18" s="235"/>
      <c r="Q18" s="235"/>
      <c r="R18" s="235"/>
      <c r="S18" s="235"/>
      <c r="T18" s="235"/>
      <c r="U18" s="235"/>
      <c r="V18" s="235"/>
      <c r="W18" s="235"/>
      <c r="X18" s="235"/>
      <c r="Y18" s="235"/>
      <c r="Z18" s="235"/>
      <c r="AA18" s="235"/>
      <c r="AB18" s="235"/>
      <c r="AC18" s="235"/>
      <c r="AD18" s="235"/>
      <c r="AE18" s="235"/>
      <c r="AF18" s="235"/>
      <c r="AG18" s="235"/>
      <c r="AH18" s="235"/>
      <c r="AI18" s="235"/>
      <c r="AJ18" s="235"/>
      <c r="AK18" s="235"/>
      <c r="AL18" s="235"/>
      <c r="AM18" s="235"/>
      <c r="AN18" s="235"/>
      <c r="AO18" s="235"/>
      <c r="AP18" s="235"/>
      <c r="AQ18" s="235"/>
      <c r="AR18" s="235"/>
      <c r="AS18" s="235"/>
      <c r="AT18" s="235"/>
      <c r="AU18" s="235"/>
      <c r="AV18" s="235"/>
      <c r="AW18" s="235"/>
      <c r="AX18" s="235"/>
      <c r="AY18" s="235"/>
      <c r="AZ18" s="235"/>
      <c r="BA18" s="235"/>
      <c r="BB18" s="235"/>
      <c r="BC18" s="235"/>
      <c r="BD18" s="235"/>
    </row>
    <row r="19" spans="1:56">
      <c r="A19" s="313">
        <v>44610</v>
      </c>
      <c r="B19" s="314">
        <v>18</v>
      </c>
      <c r="C19" s="315">
        <f t="shared" si="0"/>
        <v>111.28571428571429</v>
      </c>
      <c r="D19" s="316">
        <f t="shared" si="1"/>
        <v>7</v>
      </c>
      <c r="E19" s="316">
        <f t="shared" si="2"/>
        <v>17</v>
      </c>
      <c r="F19" s="1030">
        <f t="shared" si="3"/>
        <v>5.8227795686220096</v>
      </c>
      <c r="G19" s="1027">
        <v>100</v>
      </c>
      <c r="H19" s="235">
        <v>109</v>
      </c>
      <c r="I19" s="235">
        <v>112</v>
      </c>
      <c r="J19" s="235">
        <v>115</v>
      </c>
      <c r="K19" s="235">
        <v>117</v>
      </c>
      <c r="L19" s="235">
        <v>116</v>
      </c>
      <c r="M19" s="235">
        <v>110</v>
      </c>
      <c r="N19" s="235"/>
      <c r="O19" s="235"/>
      <c r="P19" s="235"/>
      <c r="Q19" s="235"/>
      <c r="R19" s="235"/>
      <c r="S19" s="235"/>
      <c r="T19" s="235"/>
      <c r="U19" s="235"/>
      <c r="V19" s="235"/>
      <c r="W19" s="235"/>
      <c r="X19" s="235"/>
      <c r="Y19" s="235"/>
      <c r="Z19" s="235"/>
      <c r="AA19" s="235"/>
      <c r="AB19" s="235"/>
      <c r="AC19" s="235"/>
      <c r="AD19" s="235"/>
      <c r="AE19" s="235"/>
      <c r="AF19" s="235"/>
      <c r="AG19" s="235"/>
      <c r="AH19" s="235"/>
      <c r="AI19" s="235"/>
      <c r="AJ19" s="235"/>
      <c r="AK19" s="235"/>
      <c r="AL19" s="235"/>
      <c r="AM19" s="235"/>
      <c r="AN19" s="235"/>
      <c r="AO19" s="235"/>
      <c r="AP19" s="235"/>
      <c r="AQ19" s="235"/>
      <c r="AR19" s="235"/>
      <c r="AS19" s="235"/>
      <c r="AT19" s="235"/>
      <c r="AU19" s="235"/>
      <c r="AV19" s="235"/>
      <c r="AW19" s="235"/>
      <c r="AX19" s="235"/>
      <c r="AY19" s="235"/>
      <c r="AZ19" s="235"/>
      <c r="BA19" s="235"/>
      <c r="BB19" s="235"/>
      <c r="BC19" s="235"/>
      <c r="BD19" s="235"/>
    </row>
    <row r="20" spans="1:56">
      <c r="A20" s="313">
        <v>44611</v>
      </c>
      <c r="B20" s="314">
        <v>19</v>
      </c>
      <c r="C20" s="315">
        <f t="shared" si="0"/>
        <v>105.66666666666667</v>
      </c>
      <c r="D20" s="316">
        <f t="shared" si="1"/>
        <v>9</v>
      </c>
      <c r="E20" s="316">
        <f t="shared" si="2"/>
        <v>46</v>
      </c>
      <c r="F20" s="1030">
        <f t="shared" si="3"/>
        <v>14.620191517213446</v>
      </c>
      <c r="G20" s="1027">
        <v>67</v>
      </c>
      <c r="H20" s="235">
        <v>109</v>
      </c>
      <c r="I20" s="235">
        <v>108</v>
      </c>
      <c r="J20" s="235">
        <v>110</v>
      </c>
      <c r="K20" s="235">
        <v>112</v>
      </c>
      <c r="L20" s="235">
        <v>112</v>
      </c>
      <c r="M20" s="235">
        <v>113</v>
      </c>
      <c r="N20" s="235">
        <v>112</v>
      </c>
      <c r="O20" s="235">
        <v>108</v>
      </c>
      <c r="P20" s="235"/>
      <c r="Q20" s="235"/>
      <c r="R20" s="235"/>
      <c r="S20" s="235"/>
      <c r="T20" s="235"/>
      <c r="U20" s="235"/>
      <c r="V20" s="235"/>
      <c r="W20" s="235"/>
      <c r="X20" s="235"/>
      <c r="Y20" s="235"/>
      <c r="Z20" s="235"/>
      <c r="AA20" s="235"/>
      <c r="AB20" s="235"/>
      <c r="AC20" s="235"/>
      <c r="AD20" s="235"/>
      <c r="AE20" s="235"/>
      <c r="AF20" s="235"/>
      <c r="AG20" s="235"/>
      <c r="AH20" s="235"/>
      <c r="AI20" s="235"/>
      <c r="AJ20" s="235"/>
      <c r="AK20" s="235"/>
      <c r="AL20" s="235"/>
      <c r="AM20" s="235"/>
      <c r="AN20" s="235"/>
      <c r="AO20" s="235"/>
      <c r="AP20" s="235"/>
      <c r="AQ20" s="235"/>
      <c r="AR20" s="235"/>
      <c r="AS20" s="235"/>
      <c r="AT20" s="235"/>
      <c r="AU20" s="235"/>
      <c r="AV20" s="235"/>
      <c r="AW20" s="235"/>
      <c r="AX20" s="235"/>
      <c r="AY20" s="235"/>
      <c r="AZ20" s="235"/>
      <c r="BA20" s="235"/>
      <c r="BB20" s="235"/>
      <c r="BC20" s="235"/>
      <c r="BD20" s="235"/>
    </row>
    <row r="21" spans="1:56">
      <c r="B21" s="314">
        <v>20</v>
      </c>
      <c r="C21" s="315" t="str">
        <f t="shared" si="0"/>
        <v/>
      </c>
      <c r="D21" s="316" t="str">
        <f t="shared" si="1"/>
        <v/>
      </c>
      <c r="E21" s="316" t="str">
        <f t="shared" si="2"/>
        <v/>
      </c>
      <c r="F21" s="1030" t="str">
        <f t="shared" si="3"/>
        <v/>
      </c>
      <c r="G21" s="1027"/>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5"/>
      <c r="AY21" s="235"/>
      <c r="AZ21" s="235"/>
      <c r="BA21" s="235"/>
      <c r="BB21" s="235"/>
      <c r="BC21" s="235"/>
      <c r="BD21" s="235"/>
    </row>
    <row r="22" spans="1:56">
      <c r="B22" s="314">
        <v>21</v>
      </c>
      <c r="C22" s="315" t="str">
        <f t="shared" si="0"/>
        <v/>
      </c>
      <c r="D22" s="316" t="str">
        <f t="shared" si="1"/>
        <v/>
      </c>
      <c r="E22" s="316" t="str">
        <f t="shared" si="2"/>
        <v/>
      </c>
      <c r="F22" s="1030" t="str">
        <f t="shared" si="3"/>
        <v/>
      </c>
      <c r="G22" s="1027"/>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5"/>
      <c r="AY22" s="235"/>
      <c r="AZ22" s="235"/>
      <c r="BA22" s="235"/>
      <c r="BB22" s="235"/>
      <c r="BC22" s="235"/>
      <c r="BD22" s="235"/>
    </row>
    <row r="23" spans="1:56">
      <c r="B23" s="314">
        <v>22</v>
      </c>
      <c r="C23" s="315" t="str">
        <f t="shared" si="0"/>
        <v/>
      </c>
      <c r="D23" s="316" t="str">
        <f t="shared" si="1"/>
        <v/>
      </c>
      <c r="E23" s="316" t="str">
        <f t="shared" si="2"/>
        <v/>
      </c>
      <c r="F23" s="1030" t="str">
        <f t="shared" si="3"/>
        <v/>
      </c>
      <c r="G23" s="1027"/>
      <c r="H23" s="235"/>
      <c r="I23" s="235"/>
      <c r="J23" s="235"/>
      <c r="K23" s="235"/>
      <c r="L23" s="235"/>
      <c r="M23" s="235"/>
      <c r="N23" s="235"/>
      <c r="O23" s="235"/>
      <c r="P23" s="235"/>
      <c r="Q23" s="235"/>
      <c r="R23" s="235"/>
      <c r="S23" s="235"/>
      <c r="T23" s="235"/>
      <c r="U23" s="235"/>
      <c r="V23" s="235"/>
      <c r="W23" s="235"/>
      <c r="X23" s="235"/>
      <c r="Y23" s="235"/>
      <c r="Z23" s="235"/>
      <c r="AA23" s="235"/>
      <c r="AB23" s="235"/>
      <c r="AC23" s="235"/>
      <c r="AD23" s="235"/>
      <c r="AE23" s="235"/>
      <c r="AF23" s="235"/>
      <c r="AG23" s="235"/>
      <c r="AH23" s="235"/>
      <c r="AI23" s="235"/>
      <c r="AJ23" s="235"/>
      <c r="AK23" s="235"/>
      <c r="AL23" s="235"/>
      <c r="AM23" s="235"/>
      <c r="AN23" s="235"/>
      <c r="AO23" s="235"/>
      <c r="AP23" s="235"/>
      <c r="AQ23" s="235"/>
      <c r="AR23" s="235"/>
      <c r="AS23" s="235"/>
      <c r="AT23" s="235"/>
      <c r="AU23" s="235"/>
      <c r="AV23" s="235"/>
      <c r="AW23" s="235"/>
      <c r="AX23" s="235"/>
      <c r="AY23" s="235"/>
      <c r="AZ23" s="235"/>
      <c r="BA23" s="235"/>
      <c r="BB23" s="235"/>
      <c r="BC23" s="235"/>
      <c r="BD23" s="235"/>
    </row>
    <row r="24" spans="1:56">
      <c r="B24" s="314">
        <v>23</v>
      </c>
      <c r="C24" s="315" t="str">
        <f t="shared" si="0"/>
        <v/>
      </c>
      <c r="D24" s="316" t="str">
        <f t="shared" si="1"/>
        <v/>
      </c>
      <c r="E24" s="316" t="str">
        <f t="shared" si="2"/>
        <v/>
      </c>
      <c r="F24" s="1030" t="str">
        <f t="shared" si="3"/>
        <v/>
      </c>
      <c r="G24" s="1027"/>
      <c r="H24" s="235"/>
      <c r="I24" s="235"/>
      <c r="J24" s="235"/>
      <c r="K24" s="235"/>
      <c r="L24" s="235"/>
      <c r="M24" s="235"/>
      <c r="N24" s="235"/>
      <c r="O24" s="235"/>
      <c r="P24" s="235"/>
      <c r="Q24" s="235"/>
      <c r="R24" s="235"/>
      <c r="S24" s="235"/>
      <c r="T24" s="235"/>
      <c r="U24" s="235"/>
      <c r="V24" s="235"/>
      <c r="W24" s="235"/>
      <c r="X24" s="235"/>
      <c r="Y24" s="235"/>
      <c r="Z24" s="235"/>
      <c r="AA24" s="235"/>
      <c r="AB24" s="235"/>
      <c r="AC24" s="235"/>
      <c r="AD24" s="235"/>
      <c r="AE24" s="235"/>
      <c r="AF24" s="235"/>
      <c r="AG24" s="235"/>
      <c r="AH24" s="235"/>
      <c r="AI24" s="235"/>
      <c r="AJ24" s="235"/>
      <c r="AK24" s="235"/>
      <c r="AL24" s="235"/>
      <c r="AM24" s="235"/>
      <c r="AN24" s="235"/>
      <c r="AO24" s="235"/>
      <c r="AP24" s="235"/>
      <c r="AQ24" s="235"/>
      <c r="AR24" s="235"/>
      <c r="AS24" s="235"/>
      <c r="AT24" s="235"/>
      <c r="AU24" s="235"/>
      <c r="AV24" s="235"/>
      <c r="AW24" s="235"/>
      <c r="AX24" s="235"/>
      <c r="AY24" s="235"/>
      <c r="AZ24" s="235"/>
      <c r="BA24" s="235"/>
      <c r="BB24" s="235"/>
      <c r="BC24" s="235"/>
      <c r="BD24" s="235"/>
    </row>
    <row r="25" spans="1:56">
      <c r="B25" s="314">
        <v>24</v>
      </c>
      <c r="C25" s="315" t="str">
        <f t="shared" si="0"/>
        <v/>
      </c>
      <c r="D25" s="316" t="str">
        <f t="shared" si="1"/>
        <v/>
      </c>
      <c r="E25" s="316" t="str">
        <f t="shared" si="2"/>
        <v/>
      </c>
      <c r="F25" s="1030" t="str">
        <f t="shared" si="3"/>
        <v/>
      </c>
      <c r="G25" s="1027"/>
      <c r="H25" s="235"/>
      <c r="I25" s="235"/>
      <c r="J25" s="235"/>
      <c r="K25" s="235"/>
      <c r="L25" s="235"/>
      <c r="M25" s="235"/>
      <c r="N25" s="235"/>
      <c r="O25" s="235"/>
      <c r="P25" s="235"/>
      <c r="Q25" s="235"/>
      <c r="R25" s="235"/>
      <c r="S25" s="235"/>
      <c r="T25" s="235"/>
      <c r="U25" s="235"/>
      <c r="V25" s="235"/>
      <c r="W25" s="235"/>
      <c r="X25" s="235"/>
      <c r="Y25" s="235"/>
      <c r="Z25" s="235"/>
      <c r="AA25" s="235"/>
      <c r="AB25" s="235"/>
      <c r="AC25" s="235"/>
      <c r="AD25" s="235"/>
      <c r="AE25" s="235"/>
      <c r="AF25" s="235"/>
      <c r="AG25" s="235"/>
      <c r="AH25" s="235"/>
      <c r="AI25" s="235"/>
      <c r="AJ25" s="235"/>
      <c r="AK25" s="235"/>
      <c r="AL25" s="235"/>
      <c r="AM25" s="235"/>
      <c r="AN25" s="235"/>
      <c r="AO25" s="235"/>
      <c r="AP25" s="235"/>
      <c r="AQ25" s="235"/>
      <c r="AR25" s="235"/>
      <c r="AS25" s="235"/>
      <c r="AT25" s="235"/>
      <c r="AU25" s="235"/>
      <c r="AV25" s="235"/>
      <c r="AW25" s="235"/>
      <c r="AX25" s="235"/>
      <c r="AY25" s="235"/>
      <c r="AZ25" s="235"/>
      <c r="BA25" s="235"/>
      <c r="BB25" s="235"/>
      <c r="BC25" s="235"/>
      <c r="BD25" s="235"/>
    </row>
    <row r="26" spans="1:56">
      <c r="B26" s="314">
        <v>25</v>
      </c>
      <c r="C26" s="315" t="str">
        <f t="shared" si="0"/>
        <v/>
      </c>
      <c r="D26" s="316" t="str">
        <f t="shared" si="1"/>
        <v/>
      </c>
      <c r="E26" s="316" t="str">
        <f t="shared" si="2"/>
        <v/>
      </c>
      <c r="F26" s="1030" t="str">
        <f t="shared" si="3"/>
        <v/>
      </c>
      <c r="G26" s="1027"/>
      <c r="H26" s="235"/>
      <c r="I26" s="235"/>
      <c r="J26" s="235"/>
      <c r="K26" s="235"/>
      <c r="L26" s="235"/>
      <c r="M26" s="235"/>
      <c r="N26" s="235"/>
      <c r="O26" s="235"/>
      <c r="P26" s="235"/>
      <c r="Q26" s="235"/>
      <c r="R26" s="235"/>
      <c r="S26" s="235"/>
      <c r="T26" s="235"/>
      <c r="U26" s="235"/>
      <c r="V26" s="235"/>
      <c r="W26" s="235"/>
      <c r="X26" s="235"/>
      <c r="Y26" s="235"/>
      <c r="Z26" s="235"/>
      <c r="AA26" s="235"/>
      <c r="AB26" s="235"/>
      <c r="AC26" s="235"/>
      <c r="AD26" s="235"/>
      <c r="AE26" s="235"/>
      <c r="AF26" s="235"/>
      <c r="AG26" s="235"/>
      <c r="AH26" s="235"/>
      <c r="AI26" s="235"/>
      <c r="AJ26" s="235"/>
      <c r="AK26" s="235"/>
      <c r="AL26" s="235"/>
      <c r="AM26" s="235"/>
      <c r="AN26" s="235"/>
      <c r="AO26" s="235"/>
      <c r="AP26" s="235"/>
      <c r="AQ26" s="235"/>
      <c r="AR26" s="235"/>
      <c r="AS26" s="235"/>
      <c r="AT26" s="235"/>
      <c r="AU26" s="235"/>
      <c r="AV26" s="235"/>
      <c r="AW26" s="235"/>
      <c r="AX26" s="235"/>
      <c r="AY26" s="235"/>
      <c r="AZ26" s="235"/>
      <c r="BA26" s="235"/>
      <c r="BB26" s="235"/>
      <c r="BC26" s="235"/>
      <c r="BD26" s="235"/>
    </row>
    <row r="27" spans="1:56">
      <c r="B27" s="314">
        <v>26</v>
      </c>
      <c r="C27" s="315" t="str">
        <f t="shared" si="0"/>
        <v/>
      </c>
      <c r="D27" s="316" t="str">
        <f t="shared" si="1"/>
        <v/>
      </c>
      <c r="E27" s="316" t="str">
        <f t="shared" si="2"/>
        <v/>
      </c>
      <c r="F27" s="1030" t="str">
        <f t="shared" si="3"/>
        <v/>
      </c>
      <c r="G27" s="1027"/>
      <c r="H27" s="235"/>
      <c r="I27" s="235"/>
      <c r="J27" s="235"/>
      <c r="K27" s="235"/>
      <c r="L27" s="235"/>
      <c r="M27" s="235"/>
      <c r="N27" s="235"/>
      <c r="O27" s="235"/>
      <c r="P27" s="235"/>
      <c r="Q27" s="235"/>
      <c r="R27" s="235"/>
      <c r="S27" s="235"/>
      <c r="T27" s="235"/>
      <c r="U27" s="235"/>
      <c r="V27" s="235"/>
      <c r="W27" s="235"/>
      <c r="X27" s="235"/>
      <c r="Y27" s="235"/>
      <c r="Z27" s="235"/>
      <c r="AA27" s="235"/>
      <c r="AB27" s="235"/>
      <c r="AC27" s="235"/>
      <c r="AD27" s="235"/>
      <c r="AE27" s="235"/>
      <c r="AF27" s="235"/>
      <c r="AG27" s="235"/>
      <c r="AH27" s="235"/>
      <c r="AI27" s="235"/>
      <c r="AJ27" s="235"/>
      <c r="AK27" s="235"/>
      <c r="AL27" s="235"/>
      <c r="AM27" s="235"/>
      <c r="AN27" s="235"/>
      <c r="AO27" s="235"/>
      <c r="AP27" s="235"/>
      <c r="AQ27" s="235"/>
      <c r="AR27" s="235"/>
      <c r="AS27" s="235"/>
      <c r="AT27" s="235"/>
      <c r="AU27" s="235"/>
      <c r="AV27" s="235"/>
      <c r="AW27" s="235"/>
      <c r="AX27" s="235"/>
      <c r="AY27" s="235"/>
      <c r="AZ27" s="235"/>
      <c r="BA27" s="235"/>
      <c r="BB27" s="235"/>
      <c r="BC27" s="235"/>
      <c r="BD27" s="235"/>
    </row>
    <row r="28" spans="1:56">
      <c r="B28" s="314">
        <v>27</v>
      </c>
      <c r="C28" s="315" t="str">
        <f t="shared" si="0"/>
        <v/>
      </c>
      <c r="D28" s="316" t="str">
        <f t="shared" si="1"/>
        <v/>
      </c>
      <c r="E28" s="316" t="str">
        <f t="shared" si="2"/>
        <v/>
      </c>
      <c r="F28" s="1030" t="str">
        <f t="shared" si="3"/>
        <v/>
      </c>
      <c r="G28" s="1027"/>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5"/>
      <c r="AY28" s="235"/>
      <c r="AZ28" s="235"/>
      <c r="BA28" s="235"/>
      <c r="BB28" s="235"/>
      <c r="BC28" s="235"/>
      <c r="BD28" s="235"/>
    </row>
    <row r="29" spans="1:56">
      <c r="B29" s="314">
        <v>28</v>
      </c>
      <c r="C29" s="315" t="str">
        <f t="shared" si="0"/>
        <v/>
      </c>
      <c r="D29" s="316" t="str">
        <f t="shared" si="1"/>
        <v/>
      </c>
      <c r="E29" s="316" t="str">
        <f t="shared" si="2"/>
        <v/>
      </c>
      <c r="F29" s="1030" t="str">
        <f t="shared" si="3"/>
        <v/>
      </c>
      <c r="G29" s="1027"/>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5"/>
      <c r="AY29" s="235"/>
      <c r="AZ29" s="235"/>
      <c r="BA29" s="235"/>
      <c r="BB29" s="235"/>
      <c r="BC29" s="235"/>
      <c r="BD29" s="235"/>
    </row>
    <row r="30" spans="1:56">
      <c r="B30" s="314">
        <v>29</v>
      </c>
      <c r="C30" s="315" t="str">
        <f t="shared" si="0"/>
        <v/>
      </c>
      <c r="D30" s="316" t="str">
        <f t="shared" si="1"/>
        <v/>
      </c>
      <c r="E30" s="316" t="str">
        <f t="shared" si="2"/>
        <v/>
      </c>
      <c r="F30" s="1030" t="str">
        <f t="shared" si="3"/>
        <v/>
      </c>
      <c r="G30" s="1027"/>
      <c r="H30" s="235"/>
      <c r="I30" s="235"/>
      <c r="J30" s="235"/>
      <c r="K30" s="235"/>
      <c r="L30" s="235"/>
      <c r="M30" s="235"/>
      <c r="N30" s="235"/>
      <c r="O30" s="235"/>
      <c r="P30" s="235"/>
      <c r="Q30" s="235"/>
      <c r="R30" s="235"/>
      <c r="S30" s="235"/>
      <c r="T30" s="235"/>
      <c r="U30" s="235"/>
      <c r="V30" s="235"/>
      <c r="W30" s="235"/>
      <c r="X30" s="235"/>
      <c r="Y30" s="235"/>
      <c r="Z30" s="235"/>
      <c r="AA30" s="235"/>
      <c r="AB30" s="235"/>
      <c r="AC30" s="235"/>
      <c r="AD30" s="235"/>
      <c r="AE30" s="235"/>
      <c r="AF30" s="235"/>
      <c r="AG30" s="235"/>
      <c r="AH30" s="235"/>
      <c r="AI30" s="235"/>
      <c r="AJ30" s="235"/>
      <c r="AK30" s="235"/>
      <c r="AL30" s="235"/>
      <c r="AM30" s="235"/>
      <c r="AN30" s="235"/>
      <c r="AO30" s="235"/>
      <c r="AP30" s="235"/>
      <c r="AQ30" s="235"/>
      <c r="AR30" s="235"/>
      <c r="AS30" s="235"/>
      <c r="AT30" s="235"/>
      <c r="AU30" s="235"/>
      <c r="AV30" s="235"/>
      <c r="AW30" s="235"/>
      <c r="AX30" s="235"/>
      <c r="AY30" s="235"/>
      <c r="AZ30" s="235"/>
      <c r="BA30" s="235"/>
      <c r="BB30" s="235"/>
      <c r="BC30" s="235"/>
      <c r="BD30" s="235"/>
    </row>
    <row r="31" spans="1:56">
      <c r="B31" s="314">
        <v>30</v>
      </c>
      <c r="C31" s="315" t="str">
        <f t="shared" si="0"/>
        <v/>
      </c>
      <c r="D31" s="316" t="str">
        <f t="shared" si="1"/>
        <v/>
      </c>
      <c r="E31" s="316" t="str">
        <f t="shared" si="2"/>
        <v/>
      </c>
      <c r="F31" s="1030" t="str">
        <f t="shared" si="3"/>
        <v/>
      </c>
      <c r="G31" s="1027"/>
      <c r="H31" s="235"/>
      <c r="I31" s="235"/>
      <c r="J31" s="235"/>
      <c r="K31" s="235"/>
      <c r="L31" s="235"/>
      <c r="M31" s="235"/>
      <c r="N31" s="235"/>
      <c r="O31" s="235"/>
      <c r="P31" s="235"/>
      <c r="Q31" s="235"/>
      <c r="R31" s="235"/>
      <c r="S31" s="235"/>
      <c r="T31" s="235"/>
      <c r="U31" s="235"/>
      <c r="V31" s="235"/>
      <c r="W31" s="235"/>
      <c r="X31" s="235"/>
      <c r="Y31" s="235"/>
      <c r="Z31" s="235"/>
      <c r="AA31" s="235"/>
      <c r="AB31" s="235"/>
      <c r="AC31" s="235"/>
      <c r="AD31" s="235"/>
      <c r="AE31" s="235"/>
      <c r="AF31" s="235"/>
      <c r="AG31" s="235"/>
      <c r="AH31" s="235"/>
      <c r="AI31" s="235"/>
      <c r="AJ31" s="235"/>
      <c r="AK31" s="235"/>
      <c r="AL31" s="235"/>
      <c r="AM31" s="235"/>
      <c r="AN31" s="235"/>
      <c r="AO31" s="235"/>
      <c r="AP31" s="235"/>
      <c r="AQ31" s="235"/>
      <c r="AR31" s="235"/>
      <c r="AS31" s="235"/>
      <c r="AT31" s="235"/>
      <c r="AU31" s="235"/>
      <c r="AV31" s="235"/>
      <c r="AW31" s="235"/>
      <c r="AX31" s="235"/>
      <c r="AY31" s="235"/>
      <c r="AZ31" s="235"/>
      <c r="BA31" s="235"/>
      <c r="BB31" s="235"/>
      <c r="BC31" s="235"/>
      <c r="BD31" s="235"/>
    </row>
    <row r="32" spans="1:56">
      <c r="B32" s="314">
        <v>31</v>
      </c>
      <c r="C32" s="315" t="str">
        <f t="shared" si="0"/>
        <v/>
      </c>
      <c r="D32" s="316" t="str">
        <f t="shared" si="1"/>
        <v/>
      </c>
      <c r="E32" s="316" t="str">
        <f t="shared" si="2"/>
        <v/>
      </c>
      <c r="F32" s="1030" t="str">
        <f t="shared" si="3"/>
        <v/>
      </c>
      <c r="G32" s="1027"/>
      <c r="H32" s="235"/>
      <c r="I32" s="235"/>
      <c r="J32" s="235"/>
      <c r="K32" s="235"/>
      <c r="L32" s="235"/>
      <c r="M32" s="235"/>
      <c r="N32" s="235"/>
      <c r="O32" s="235"/>
      <c r="P32" s="235"/>
      <c r="Q32" s="235"/>
      <c r="R32" s="235"/>
      <c r="S32" s="235"/>
      <c r="T32" s="235"/>
      <c r="U32" s="235"/>
      <c r="V32" s="235"/>
      <c r="W32" s="235"/>
      <c r="X32" s="235"/>
      <c r="Y32" s="235"/>
      <c r="Z32" s="235"/>
      <c r="AA32" s="235"/>
      <c r="AB32" s="235"/>
      <c r="AC32" s="235"/>
      <c r="AD32" s="235"/>
      <c r="AE32" s="235"/>
      <c r="AF32" s="235"/>
      <c r="AG32" s="235"/>
      <c r="AH32" s="235"/>
      <c r="AI32" s="235"/>
      <c r="AJ32" s="235"/>
      <c r="AK32" s="235"/>
      <c r="AL32" s="235"/>
      <c r="AM32" s="235"/>
      <c r="AN32" s="235"/>
      <c r="AO32" s="235"/>
      <c r="AP32" s="235"/>
      <c r="AQ32" s="235"/>
      <c r="AR32" s="235"/>
      <c r="AS32" s="235"/>
      <c r="AT32" s="235"/>
      <c r="AU32" s="235"/>
      <c r="AV32" s="235"/>
      <c r="AW32" s="235"/>
      <c r="AX32" s="235"/>
      <c r="AY32" s="235"/>
      <c r="AZ32" s="235"/>
      <c r="BA32" s="235"/>
      <c r="BB32" s="235"/>
      <c r="BC32" s="235"/>
      <c r="BD32" s="235"/>
    </row>
    <row r="33" spans="2:56">
      <c r="B33" s="314">
        <v>32</v>
      </c>
      <c r="C33" s="315" t="str">
        <f t="shared" si="0"/>
        <v/>
      </c>
      <c r="D33" s="316" t="str">
        <f t="shared" si="1"/>
        <v/>
      </c>
      <c r="E33" s="316" t="str">
        <f t="shared" si="2"/>
        <v/>
      </c>
      <c r="F33" s="1030" t="str">
        <f t="shared" si="3"/>
        <v/>
      </c>
      <c r="G33" s="1027"/>
      <c r="H33" s="235"/>
      <c r="I33" s="235"/>
      <c r="J33" s="235"/>
      <c r="K33" s="235"/>
      <c r="L33" s="235"/>
      <c r="M33" s="235"/>
      <c r="N33" s="235"/>
      <c r="O33" s="235"/>
      <c r="P33" s="235"/>
      <c r="Q33" s="235"/>
      <c r="R33" s="235"/>
      <c r="S33" s="235"/>
      <c r="T33" s="235"/>
      <c r="U33" s="235"/>
      <c r="V33" s="235"/>
      <c r="W33" s="235"/>
      <c r="X33" s="235"/>
      <c r="Y33" s="235"/>
      <c r="Z33" s="235"/>
      <c r="AA33" s="235"/>
      <c r="AB33" s="235"/>
      <c r="AC33" s="235"/>
      <c r="AD33" s="235"/>
      <c r="AE33" s="235"/>
      <c r="AF33" s="235"/>
      <c r="AG33" s="235"/>
      <c r="AH33" s="235"/>
      <c r="AI33" s="235"/>
      <c r="AJ33" s="235"/>
      <c r="AK33" s="235"/>
      <c r="AL33" s="235"/>
      <c r="AM33" s="235"/>
      <c r="AN33" s="235"/>
      <c r="AO33" s="235"/>
      <c r="AP33" s="235"/>
      <c r="AQ33" s="235"/>
      <c r="AR33" s="235"/>
      <c r="AS33" s="235"/>
      <c r="AT33" s="235"/>
      <c r="AU33" s="235"/>
      <c r="AV33" s="235"/>
      <c r="AW33" s="235"/>
      <c r="AX33" s="235"/>
      <c r="AY33" s="235"/>
      <c r="AZ33" s="235"/>
      <c r="BA33" s="235"/>
      <c r="BB33" s="235"/>
      <c r="BC33" s="235"/>
      <c r="BD33" s="235"/>
    </row>
    <row r="34" spans="2:56">
      <c r="B34" s="314">
        <v>33</v>
      </c>
      <c r="C34" s="315" t="str">
        <f t="shared" ref="C34:C65" si="4">IFERROR(AVERAGE(G34:IV34), "")</f>
        <v/>
      </c>
      <c r="D34" s="316" t="str">
        <f t="shared" ref="D34:D65" si="5">IF(COUNT(G34:IV34)=0, "", COUNT(G34:IV34))</f>
        <v/>
      </c>
      <c r="E34" s="316" t="str">
        <f t="shared" ref="E34:E65" si="6">IF(F34="", "", MAX(G34:IV34)-MIN(G34:IV34))</f>
        <v/>
      </c>
      <c r="F34" s="1030" t="str">
        <f t="shared" ref="F34:F65" si="7">IFERROR(STDEV(G34:IV34), "")</f>
        <v/>
      </c>
      <c r="G34" s="1027"/>
      <c r="H34" s="235"/>
      <c r="I34" s="235"/>
      <c r="J34" s="235"/>
      <c r="K34" s="235"/>
      <c r="L34" s="235"/>
      <c r="M34" s="235"/>
      <c r="N34" s="235"/>
      <c r="O34" s="235"/>
      <c r="P34" s="235"/>
      <c r="Q34" s="235"/>
      <c r="R34" s="235"/>
      <c r="S34" s="235"/>
      <c r="T34" s="235"/>
      <c r="U34" s="235"/>
      <c r="V34" s="235"/>
      <c r="W34" s="235"/>
      <c r="X34" s="235"/>
      <c r="Y34" s="235"/>
      <c r="Z34" s="235"/>
      <c r="AA34" s="235"/>
      <c r="AB34" s="235"/>
      <c r="AC34" s="235"/>
      <c r="AD34" s="235"/>
      <c r="AE34" s="235"/>
      <c r="AF34" s="235"/>
      <c r="AG34" s="235"/>
      <c r="AH34" s="235"/>
      <c r="AI34" s="235"/>
      <c r="AJ34" s="235"/>
      <c r="AK34" s="235"/>
      <c r="AL34" s="235"/>
      <c r="AM34" s="235"/>
      <c r="AN34" s="235"/>
      <c r="AO34" s="235"/>
      <c r="AP34" s="235"/>
      <c r="AQ34" s="235"/>
      <c r="AR34" s="235"/>
      <c r="AS34" s="235"/>
      <c r="AT34" s="235"/>
      <c r="AU34" s="235"/>
      <c r="AV34" s="235"/>
      <c r="AW34" s="235"/>
      <c r="AX34" s="235"/>
      <c r="AY34" s="235"/>
      <c r="AZ34" s="235"/>
      <c r="BA34" s="235"/>
      <c r="BB34" s="235"/>
      <c r="BC34" s="235"/>
      <c r="BD34" s="235"/>
    </row>
    <row r="35" spans="2:56">
      <c r="B35" s="314">
        <v>34</v>
      </c>
      <c r="C35" s="315" t="str">
        <f t="shared" si="4"/>
        <v/>
      </c>
      <c r="D35" s="316" t="str">
        <f t="shared" si="5"/>
        <v/>
      </c>
      <c r="E35" s="316" t="str">
        <f t="shared" si="6"/>
        <v/>
      </c>
      <c r="F35" s="1030" t="str">
        <f t="shared" si="7"/>
        <v/>
      </c>
      <c r="G35" s="1027"/>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5"/>
      <c r="AY35" s="235"/>
      <c r="AZ35" s="235"/>
      <c r="BA35" s="235"/>
      <c r="BB35" s="235"/>
      <c r="BC35" s="235"/>
      <c r="BD35" s="235"/>
    </row>
    <row r="36" spans="2:56">
      <c r="B36" s="314">
        <v>35</v>
      </c>
      <c r="C36" s="315" t="str">
        <f t="shared" si="4"/>
        <v/>
      </c>
      <c r="D36" s="316" t="str">
        <f t="shared" si="5"/>
        <v/>
      </c>
      <c r="E36" s="316" t="str">
        <f t="shared" si="6"/>
        <v/>
      </c>
      <c r="F36" s="1030" t="str">
        <f t="shared" si="7"/>
        <v/>
      </c>
      <c r="G36" s="1027"/>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5"/>
      <c r="AY36" s="235"/>
      <c r="AZ36" s="235"/>
      <c r="BA36" s="235"/>
      <c r="BB36" s="235"/>
      <c r="BC36" s="235"/>
      <c r="BD36" s="235"/>
    </row>
    <row r="37" spans="2:56">
      <c r="B37" s="314">
        <v>36</v>
      </c>
      <c r="C37" s="315" t="str">
        <f t="shared" si="4"/>
        <v/>
      </c>
      <c r="D37" s="316" t="str">
        <f t="shared" si="5"/>
        <v/>
      </c>
      <c r="E37" s="316" t="str">
        <f t="shared" si="6"/>
        <v/>
      </c>
      <c r="F37" s="1030" t="str">
        <f t="shared" si="7"/>
        <v/>
      </c>
      <c r="G37" s="1027"/>
      <c r="H37" s="235"/>
      <c r="I37" s="235"/>
      <c r="J37" s="235"/>
      <c r="K37" s="235"/>
      <c r="L37" s="235"/>
      <c r="M37" s="235"/>
      <c r="N37" s="235"/>
      <c r="O37" s="235"/>
      <c r="P37" s="235"/>
      <c r="Q37" s="235"/>
      <c r="R37" s="235"/>
      <c r="S37" s="235"/>
      <c r="T37" s="235"/>
      <c r="U37" s="235"/>
      <c r="V37" s="235"/>
      <c r="W37" s="235"/>
      <c r="X37" s="235"/>
      <c r="Y37" s="235"/>
      <c r="Z37" s="235"/>
      <c r="AA37" s="235"/>
      <c r="AB37" s="235"/>
      <c r="AC37" s="235"/>
      <c r="AD37" s="235"/>
      <c r="AE37" s="235"/>
      <c r="AF37" s="235"/>
      <c r="AG37" s="235"/>
      <c r="AH37" s="235"/>
      <c r="AI37" s="235"/>
      <c r="AJ37" s="235"/>
      <c r="AK37" s="235"/>
      <c r="AL37" s="235"/>
      <c r="AM37" s="235"/>
      <c r="AN37" s="235"/>
      <c r="AO37" s="235"/>
      <c r="AP37" s="235"/>
      <c r="AQ37" s="235"/>
      <c r="AR37" s="235"/>
      <c r="AS37" s="235"/>
      <c r="AT37" s="235"/>
      <c r="AU37" s="235"/>
      <c r="AV37" s="235"/>
      <c r="AW37" s="235"/>
      <c r="AX37" s="235"/>
      <c r="AY37" s="235"/>
      <c r="AZ37" s="235"/>
      <c r="BA37" s="235"/>
      <c r="BB37" s="235"/>
      <c r="BC37" s="235"/>
      <c r="BD37" s="235"/>
    </row>
    <row r="38" spans="2:56">
      <c r="B38" s="314">
        <v>37</v>
      </c>
      <c r="C38" s="315" t="str">
        <f t="shared" si="4"/>
        <v/>
      </c>
      <c r="D38" s="316" t="str">
        <f t="shared" si="5"/>
        <v/>
      </c>
      <c r="E38" s="316" t="str">
        <f t="shared" si="6"/>
        <v/>
      </c>
      <c r="F38" s="1030" t="str">
        <f t="shared" si="7"/>
        <v/>
      </c>
      <c r="G38" s="1027"/>
      <c r="H38" s="235"/>
      <c r="I38" s="235"/>
      <c r="J38" s="235"/>
      <c r="K38" s="235"/>
      <c r="L38" s="235"/>
      <c r="M38" s="235"/>
      <c r="N38" s="235"/>
      <c r="O38" s="235"/>
      <c r="P38" s="235"/>
      <c r="Q38" s="235"/>
      <c r="R38" s="235"/>
      <c r="S38" s="235"/>
      <c r="T38" s="235"/>
      <c r="U38" s="235"/>
      <c r="V38" s="235"/>
      <c r="W38" s="235"/>
      <c r="X38" s="235"/>
      <c r="Y38" s="235"/>
      <c r="Z38" s="235"/>
      <c r="AA38" s="235"/>
      <c r="AB38" s="235"/>
      <c r="AC38" s="235"/>
      <c r="AD38" s="235"/>
      <c r="AE38" s="235"/>
      <c r="AF38" s="235"/>
      <c r="AG38" s="235"/>
      <c r="AH38" s="235"/>
      <c r="AI38" s="235"/>
      <c r="AJ38" s="235"/>
      <c r="AK38" s="235"/>
      <c r="AL38" s="235"/>
      <c r="AM38" s="235"/>
      <c r="AN38" s="235"/>
      <c r="AO38" s="235"/>
      <c r="AP38" s="235"/>
      <c r="AQ38" s="235"/>
      <c r="AR38" s="235"/>
      <c r="AS38" s="235"/>
      <c r="AT38" s="235"/>
      <c r="AU38" s="235"/>
      <c r="AV38" s="235"/>
      <c r="AW38" s="235"/>
      <c r="AX38" s="235"/>
      <c r="AY38" s="235"/>
      <c r="AZ38" s="235"/>
      <c r="BA38" s="235"/>
      <c r="BB38" s="235"/>
      <c r="BC38" s="235"/>
      <c r="BD38" s="235"/>
    </row>
    <row r="39" spans="2:56">
      <c r="B39" s="314">
        <v>38</v>
      </c>
      <c r="C39" s="315" t="str">
        <f t="shared" si="4"/>
        <v/>
      </c>
      <c r="D39" s="316" t="str">
        <f t="shared" si="5"/>
        <v/>
      </c>
      <c r="E39" s="316" t="str">
        <f t="shared" si="6"/>
        <v/>
      </c>
      <c r="F39" s="1030" t="str">
        <f t="shared" si="7"/>
        <v/>
      </c>
      <c r="G39" s="1027"/>
      <c r="H39" s="235"/>
      <c r="I39" s="235"/>
      <c r="J39" s="235"/>
      <c r="K39" s="235"/>
      <c r="L39" s="235"/>
      <c r="M39" s="235"/>
      <c r="N39" s="235"/>
      <c r="O39" s="235"/>
      <c r="P39" s="235"/>
      <c r="Q39" s="235"/>
      <c r="R39" s="235"/>
      <c r="S39" s="235"/>
      <c r="T39" s="235"/>
      <c r="U39" s="235"/>
      <c r="V39" s="235"/>
      <c r="W39" s="235"/>
      <c r="X39" s="235"/>
      <c r="Y39" s="235"/>
      <c r="Z39" s="235"/>
      <c r="AA39" s="235"/>
      <c r="AB39" s="235"/>
      <c r="AC39" s="235"/>
      <c r="AD39" s="235"/>
      <c r="AE39" s="235"/>
      <c r="AF39" s="235"/>
      <c r="AG39" s="235"/>
      <c r="AH39" s="235"/>
      <c r="AI39" s="235"/>
      <c r="AJ39" s="235"/>
      <c r="AK39" s="235"/>
      <c r="AL39" s="235"/>
      <c r="AM39" s="235"/>
      <c r="AN39" s="235"/>
      <c r="AO39" s="235"/>
      <c r="AP39" s="235"/>
      <c r="AQ39" s="235"/>
      <c r="AR39" s="235"/>
      <c r="AS39" s="235"/>
      <c r="AT39" s="235"/>
      <c r="AU39" s="235"/>
      <c r="AV39" s="235"/>
      <c r="AW39" s="235"/>
      <c r="AX39" s="235"/>
      <c r="AY39" s="235"/>
      <c r="AZ39" s="235"/>
      <c r="BA39" s="235"/>
      <c r="BB39" s="235"/>
      <c r="BC39" s="235"/>
      <c r="BD39" s="235"/>
    </row>
    <row r="40" spans="2:56">
      <c r="B40" s="314">
        <v>39</v>
      </c>
      <c r="C40" s="315" t="str">
        <f t="shared" si="4"/>
        <v/>
      </c>
      <c r="D40" s="316" t="str">
        <f t="shared" si="5"/>
        <v/>
      </c>
      <c r="E40" s="316" t="str">
        <f t="shared" si="6"/>
        <v/>
      </c>
      <c r="F40" s="1030" t="str">
        <f t="shared" si="7"/>
        <v/>
      </c>
      <c r="G40" s="1027"/>
      <c r="H40" s="235"/>
      <c r="I40" s="235"/>
      <c r="J40" s="235"/>
      <c r="K40" s="235"/>
      <c r="L40" s="235"/>
      <c r="M40" s="235"/>
      <c r="N40" s="235"/>
      <c r="O40" s="235"/>
      <c r="P40" s="235"/>
      <c r="Q40" s="235"/>
      <c r="R40" s="235"/>
      <c r="S40" s="235"/>
      <c r="T40" s="235"/>
      <c r="U40" s="235"/>
      <c r="V40" s="235"/>
      <c r="W40" s="235"/>
      <c r="X40" s="235"/>
      <c r="Y40" s="235"/>
      <c r="Z40" s="235"/>
      <c r="AA40" s="235"/>
      <c r="AB40" s="235"/>
      <c r="AC40" s="235"/>
      <c r="AD40" s="235"/>
      <c r="AE40" s="235"/>
      <c r="AF40" s="235"/>
      <c r="AG40" s="235"/>
      <c r="AH40" s="235"/>
      <c r="AI40" s="235"/>
      <c r="AJ40" s="235"/>
      <c r="AK40" s="235"/>
      <c r="AL40" s="235"/>
      <c r="AM40" s="235"/>
      <c r="AN40" s="235"/>
      <c r="AO40" s="235"/>
      <c r="AP40" s="235"/>
      <c r="AQ40" s="235"/>
      <c r="AR40" s="235"/>
      <c r="AS40" s="235"/>
      <c r="AT40" s="235"/>
      <c r="AU40" s="235"/>
      <c r="AV40" s="235"/>
      <c r="AW40" s="235"/>
      <c r="AX40" s="235"/>
      <c r="AY40" s="235"/>
      <c r="AZ40" s="235"/>
      <c r="BA40" s="235"/>
      <c r="BB40" s="235"/>
      <c r="BC40" s="235"/>
      <c r="BD40" s="235"/>
    </row>
    <row r="41" spans="2:56">
      <c r="B41" s="314">
        <v>40</v>
      </c>
      <c r="C41" s="315" t="str">
        <f t="shared" si="4"/>
        <v/>
      </c>
      <c r="D41" s="316" t="str">
        <f t="shared" si="5"/>
        <v/>
      </c>
      <c r="E41" s="316" t="str">
        <f t="shared" si="6"/>
        <v/>
      </c>
      <c r="F41" s="1030" t="str">
        <f t="shared" si="7"/>
        <v/>
      </c>
      <c r="G41" s="1027"/>
      <c r="H41" s="235"/>
      <c r="I41" s="235"/>
      <c r="J41" s="235"/>
      <c r="K41" s="235"/>
      <c r="L41" s="235"/>
      <c r="M41" s="235"/>
      <c r="N41" s="235"/>
      <c r="O41" s="235"/>
      <c r="P41" s="235"/>
      <c r="Q41" s="235"/>
      <c r="R41" s="235"/>
      <c r="S41" s="235"/>
      <c r="T41" s="235"/>
      <c r="U41" s="235"/>
      <c r="V41" s="235"/>
      <c r="W41" s="235"/>
      <c r="X41" s="235"/>
      <c r="Y41" s="235"/>
      <c r="Z41" s="235"/>
      <c r="AA41" s="235"/>
      <c r="AB41" s="235"/>
      <c r="AC41" s="235"/>
      <c r="AD41" s="235"/>
      <c r="AE41" s="235"/>
      <c r="AF41" s="235"/>
      <c r="AG41" s="235"/>
      <c r="AH41" s="235"/>
      <c r="AI41" s="235"/>
      <c r="AJ41" s="235"/>
      <c r="AK41" s="235"/>
      <c r="AL41" s="235"/>
      <c r="AM41" s="235"/>
      <c r="AN41" s="235"/>
      <c r="AO41" s="235"/>
      <c r="AP41" s="235"/>
      <c r="AQ41" s="235"/>
      <c r="AR41" s="235"/>
      <c r="AS41" s="235"/>
      <c r="AT41" s="235"/>
      <c r="AU41" s="235"/>
      <c r="AV41" s="235"/>
      <c r="AW41" s="235"/>
      <c r="AX41" s="235"/>
      <c r="AY41" s="235"/>
      <c r="AZ41" s="235"/>
      <c r="BA41" s="235"/>
      <c r="BB41" s="235"/>
      <c r="BC41" s="235"/>
      <c r="BD41" s="235"/>
    </row>
    <row r="42" spans="2:56">
      <c r="B42" s="314">
        <v>41</v>
      </c>
      <c r="C42" s="315" t="str">
        <f t="shared" si="4"/>
        <v/>
      </c>
      <c r="D42" s="316" t="str">
        <f t="shared" si="5"/>
        <v/>
      </c>
      <c r="E42" s="316" t="str">
        <f t="shared" si="6"/>
        <v/>
      </c>
      <c r="F42" s="1030" t="str">
        <f t="shared" si="7"/>
        <v/>
      </c>
      <c r="G42" s="1027"/>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5"/>
      <c r="AY42" s="235"/>
      <c r="AZ42" s="235"/>
      <c r="BA42" s="235"/>
      <c r="BB42" s="235"/>
      <c r="BC42" s="235"/>
      <c r="BD42" s="235"/>
    </row>
    <row r="43" spans="2:56">
      <c r="B43" s="314">
        <v>42</v>
      </c>
      <c r="C43" s="315" t="str">
        <f t="shared" si="4"/>
        <v/>
      </c>
      <c r="D43" s="316" t="str">
        <f t="shared" si="5"/>
        <v/>
      </c>
      <c r="E43" s="316" t="str">
        <f t="shared" si="6"/>
        <v/>
      </c>
      <c r="F43" s="1030" t="str">
        <f t="shared" si="7"/>
        <v/>
      </c>
      <c r="G43" s="1027"/>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5"/>
      <c r="AY43" s="235"/>
      <c r="AZ43" s="235"/>
      <c r="BA43" s="235"/>
      <c r="BB43" s="235"/>
      <c r="BC43" s="235"/>
      <c r="BD43" s="235"/>
    </row>
    <row r="44" spans="2:56">
      <c r="B44" s="314">
        <v>43</v>
      </c>
      <c r="C44" s="315" t="str">
        <f t="shared" si="4"/>
        <v/>
      </c>
      <c r="D44" s="316" t="str">
        <f t="shared" si="5"/>
        <v/>
      </c>
      <c r="E44" s="316" t="str">
        <f t="shared" si="6"/>
        <v/>
      </c>
      <c r="F44" s="1030" t="str">
        <f t="shared" si="7"/>
        <v/>
      </c>
      <c r="G44" s="1027"/>
      <c r="H44" s="235"/>
      <c r="I44" s="235"/>
      <c r="J44" s="235"/>
      <c r="K44" s="235"/>
      <c r="L44" s="235"/>
      <c r="M44" s="235"/>
      <c r="N44" s="235"/>
      <c r="O44" s="235"/>
      <c r="P44" s="235"/>
      <c r="Q44" s="235"/>
      <c r="R44" s="235"/>
      <c r="S44" s="235"/>
      <c r="T44" s="235"/>
      <c r="U44" s="235"/>
      <c r="V44" s="235"/>
      <c r="W44" s="235"/>
      <c r="X44" s="235"/>
      <c r="Y44" s="235"/>
      <c r="Z44" s="235"/>
      <c r="AA44" s="235"/>
      <c r="AB44" s="235"/>
      <c r="AC44" s="235"/>
      <c r="AD44" s="235"/>
      <c r="AE44" s="235"/>
      <c r="AF44" s="235"/>
      <c r="AG44" s="235"/>
      <c r="AH44" s="235"/>
      <c r="AI44" s="235"/>
      <c r="AJ44" s="235"/>
      <c r="AK44" s="235"/>
      <c r="AL44" s="235"/>
      <c r="AM44" s="235"/>
      <c r="AN44" s="235"/>
      <c r="AO44" s="235"/>
      <c r="AP44" s="235"/>
      <c r="AQ44" s="235"/>
      <c r="AR44" s="235"/>
      <c r="AS44" s="235"/>
      <c r="AT44" s="235"/>
      <c r="AU44" s="235"/>
      <c r="AV44" s="235"/>
      <c r="AW44" s="235"/>
      <c r="AX44" s="235"/>
      <c r="AY44" s="235"/>
      <c r="AZ44" s="235"/>
      <c r="BA44" s="235"/>
      <c r="BB44" s="235"/>
      <c r="BC44" s="235"/>
      <c r="BD44" s="235"/>
    </row>
    <row r="45" spans="2:56">
      <c r="B45" s="314">
        <v>44</v>
      </c>
      <c r="C45" s="315" t="str">
        <f t="shared" si="4"/>
        <v/>
      </c>
      <c r="D45" s="316" t="str">
        <f t="shared" si="5"/>
        <v/>
      </c>
      <c r="E45" s="316" t="str">
        <f t="shared" si="6"/>
        <v/>
      </c>
      <c r="F45" s="1030" t="str">
        <f t="shared" si="7"/>
        <v/>
      </c>
      <c r="G45" s="1027"/>
      <c r="H45" s="235"/>
      <c r="I45" s="235"/>
      <c r="J45" s="235"/>
      <c r="K45" s="235"/>
      <c r="L45" s="235"/>
      <c r="M45" s="235"/>
      <c r="N45" s="235"/>
      <c r="O45" s="235"/>
      <c r="P45" s="235"/>
      <c r="Q45" s="235"/>
      <c r="R45" s="235"/>
      <c r="S45" s="235"/>
      <c r="T45" s="235"/>
      <c r="U45" s="235"/>
      <c r="V45" s="235"/>
      <c r="W45" s="235"/>
      <c r="X45" s="235"/>
      <c r="Y45" s="235"/>
      <c r="Z45" s="235"/>
      <c r="AA45" s="235"/>
      <c r="AB45" s="235"/>
      <c r="AC45" s="235"/>
      <c r="AD45" s="235"/>
      <c r="AE45" s="235"/>
      <c r="AF45" s="235"/>
      <c r="AG45" s="235"/>
      <c r="AH45" s="235"/>
      <c r="AI45" s="235"/>
      <c r="AJ45" s="235"/>
      <c r="AK45" s="235"/>
      <c r="AL45" s="235"/>
      <c r="AM45" s="235"/>
      <c r="AN45" s="235"/>
      <c r="AO45" s="235"/>
      <c r="AP45" s="235"/>
      <c r="AQ45" s="235"/>
      <c r="AR45" s="235"/>
      <c r="AS45" s="235"/>
      <c r="AT45" s="235"/>
      <c r="AU45" s="235"/>
      <c r="AV45" s="235"/>
      <c r="AW45" s="235"/>
      <c r="AX45" s="235"/>
      <c r="AY45" s="235"/>
      <c r="AZ45" s="235"/>
      <c r="BA45" s="235"/>
      <c r="BB45" s="235"/>
      <c r="BC45" s="235"/>
      <c r="BD45" s="235"/>
    </row>
    <row r="46" spans="2:56">
      <c r="B46" s="314">
        <v>45</v>
      </c>
      <c r="C46" s="315" t="str">
        <f t="shared" si="4"/>
        <v/>
      </c>
      <c r="D46" s="316" t="str">
        <f t="shared" si="5"/>
        <v/>
      </c>
      <c r="E46" s="316" t="str">
        <f t="shared" si="6"/>
        <v/>
      </c>
      <c r="F46" s="1030" t="str">
        <f t="shared" si="7"/>
        <v/>
      </c>
      <c r="G46" s="1027"/>
      <c r="H46" s="235"/>
      <c r="I46" s="235"/>
      <c r="J46" s="235"/>
      <c r="K46" s="235"/>
      <c r="L46" s="235"/>
      <c r="M46" s="235"/>
      <c r="N46" s="235"/>
      <c r="O46" s="235"/>
      <c r="P46" s="235"/>
      <c r="Q46" s="235"/>
      <c r="R46" s="235"/>
      <c r="S46" s="235"/>
      <c r="T46" s="235"/>
      <c r="U46" s="235"/>
      <c r="V46" s="235"/>
      <c r="W46" s="235"/>
      <c r="X46" s="235"/>
      <c r="Y46" s="235"/>
      <c r="Z46" s="235"/>
      <c r="AA46" s="235"/>
      <c r="AB46" s="235"/>
      <c r="AC46" s="235"/>
      <c r="AD46" s="235"/>
      <c r="AE46" s="235"/>
      <c r="AF46" s="235"/>
      <c r="AG46" s="235"/>
      <c r="AH46" s="235"/>
      <c r="AI46" s="235"/>
      <c r="AJ46" s="235"/>
      <c r="AK46" s="235"/>
      <c r="AL46" s="235"/>
      <c r="AM46" s="235"/>
      <c r="AN46" s="235"/>
      <c r="AO46" s="235"/>
      <c r="AP46" s="235"/>
      <c r="AQ46" s="235"/>
      <c r="AR46" s="235"/>
      <c r="AS46" s="235"/>
      <c r="AT46" s="235"/>
      <c r="AU46" s="235"/>
      <c r="AV46" s="235"/>
      <c r="AW46" s="235"/>
      <c r="AX46" s="235"/>
      <c r="AY46" s="235"/>
      <c r="AZ46" s="235"/>
      <c r="BA46" s="235"/>
      <c r="BB46" s="235"/>
      <c r="BC46" s="235"/>
      <c r="BD46" s="235"/>
    </row>
    <row r="47" spans="2:56">
      <c r="B47" s="314">
        <v>46</v>
      </c>
      <c r="C47" s="315" t="str">
        <f t="shared" si="4"/>
        <v/>
      </c>
      <c r="D47" s="316" t="str">
        <f t="shared" si="5"/>
        <v/>
      </c>
      <c r="E47" s="316" t="str">
        <f t="shared" si="6"/>
        <v/>
      </c>
      <c r="F47" s="1030" t="str">
        <f t="shared" si="7"/>
        <v/>
      </c>
      <c r="G47" s="1027"/>
      <c r="H47" s="235"/>
      <c r="I47" s="235"/>
      <c r="J47" s="235"/>
      <c r="K47" s="235"/>
      <c r="L47" s="235"/>
      <c r="M47" s="235"/>
      <c r="N47" s="235"/>
      <c r="O47" s="235"/>
      <c r="P47" s="235"/>
      <c r="Q47" s="235"/>
      <c r="R47" s="235"/>
      <c r="S47" s="235"/>
      <c r="T47" s="235"/>
      <c r="U47" s="235"/>
      <c r="V47" s="235"/>
      <c r="W47" s="235"/>
      <c r="X47" s="235"/>
      <c r="Y47" s="235"/>
      <c r="Z47" s="235"/>
      <c r="AA47" s="235"/>
      <c r="AB47" s="235"/>
      <c r="AC47" s="235"/>
      <c r="AD47" s="235"/>
      <c r="AE47" s="235"/>
      <c r="AF47" s="235"/>
      <c r="AG47" s="235"/>
      <c r="AH47" s="235"/>
      <c r="AI47" s="235"/>
      <c r="AJ47" s="235"/>
      <c r="AK47" s="235"/>
      <c r="AL47" s="235"/>
      <c r="AM47" s="235"/>
      <c r="AN47" s="235"/>
      <c r="AO47" s="235"/>
      <c r="AP47" s="235"/>
      <c r="AQ47" s="235"/>
      <c r="AR47" s="235"/>
      <c r="AS47" s="235"/>
      <c r="AT47" s="235"/>
      <c r="AU47" s="235"/>
      <c r="AV47" s="235"/>
      <c r="AW47" s="235"/>
      <c r="AX47" s="235"/>
      <c r="AY47" s="235"/>
      <c r="AZ47" s="235"/>
      <c r="BA47" s="235"/>
      <c r="BB47" s="235"/>
      <c r="BC47" s="235"/>
      <c r="BD47" s="235"/>
    </row>
    <row r="48" spans="2:56">
      <c r="B48" s="314">
        <v>47</v>
      </c>
      <c r="C48" s="315" t="str">
        <f t="shared" si="4"/>
        <v/>
      </c>
      <c r="D48" s="316" t="str">
        <f t="shared" si="5"/>
        <v/>
      </c>
      <c r="E48" s="316" t="str">
        <f t="shared" si="6"/>
        <v/>
      </c>
      <c r="F48" s="1030" t="str">
        <f t="shared" si="7"/>
        <v/>
      </c>
      <c r="G48" s="1027"/>
      <c r="H48" s="235"/>
      <c r="I48" s="235"/>
      <c r="J48" s="235"/>
      <c r="K48" s="235"/>
      <c r="L48" s="235"/>
      <c r="M48" s="235"/>
      <c r="N48" s="235"/>
      <c r="O48" s="235"/>
      <c r="P48" s="235"/>
      <c r="Q48" s="235"/>
      <c r="R48" s="235"/>
      <c r="S48" s="235"/>
      <c r="T48" s="235"/>
      <c r="U48" s="235"/>
      <c r="V48" s="235"/>
      <c r="W48" s="235"/>
      <c r="X48" s="235"/>
      <c r="Y48" s="235"/>
      <c r="Z48" s="235"/>
      <c r="AA48" s="235"/>
      <c r="AB48" s="235"/>
      <c r="AC48" s="235"/>
      <c r="AD48" s="235"/>
      <c r="AE48" s="235"/>
      <c r="AF48" s="235"/>
      <c r="AG48" s="235"/>
      <c r="AH48" s="235"/>
      <c r="AI48" s="235"/>
      <c r="AJ48" s="235"/>
      <c r="AK48" s="235"/>
      <c r="AL48" s="235"/>
      <c r="AM48" s="235"/>
      <c r="AN48" s="235"/>
      <c r="AO48" s="235"/>
      <c r="AP48" s="235"/>
      <c r="AQ48" s="235"/>
      <c r="AR48" s="235"/>
      <c r="AS48" s="235"/>
      <c r="AT48" s="235"/>
      <c r="AU48" s="235"/>
      <c r="AV48" s="235"/>
      <c r="AW48" s="235"/>
      <c r="AX48" s="235"/>
      <c r="AY48" s="235"/>
      <c r="AZ48" s="235"/>
      <c r="BA48" s="235"/>
      <c r="BB48" s="235"/>
      <c r="BC48" s="235"/>
      <c r="BD48" s="235"/>
    </row>
    <row r="49" spans="2:56">
      <c r="B49" s="314">
        <v>48</v>
      </c>
      <c r="C49" s="315" t="str">
        <f t="shared" si="4"/>
        <v/>
      </c>
      <c r="D49" s="316" t="str">
        <f t="shared" si="5"/>
        <v/>
      </c>
      <c r="E49" s="316" t="str">
        <f t="shared" si="6"/>
        <v/>
      </c>
      <c r="F49" s="1030" t="str">
        <f t="shared" si="7"/>
        <v/>
      </c>
      <c r="G49" s="1027"/>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5"/>
      <c r="AY49" s="235"/>
      <c r="AZ49" s="235"/>
      <c r="BA49" s="235"/>
      <c r="BB49" s="235"/>
      <c r="BC49" s="235"/>
      <c r="BD49" s="235"/>
    </row>
    <row r="50" spans="2:56">
      <c r="B50" s="314">
        <v>49</v>
      </c>
      <c r="C50" s="315" t="str">
        <f t="shared" si="4"/>
        <v/>
      </c>
      <c r="D50" s="316" t="str">
        <f t="shared" si="5"/>
        <v/>
      </c>
      <c r="E50" s="316" t="str">
        <f t="shared" si="6"/>
        <v/>
      </c>
      <c r="F50" s="1030" t="str">
        <f t="shared" si="7"/>
        <v/>
      </c>
      <c r="G50" s="1027"/>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5"/>
      <c r="AY50" s="235"/>
      <c r="AZ50" s="235"/>
      <c r="BA50" s="235"/>
      <c r="BB50" s="235"/>
      <c r="BC50" s="235"/>
      <c r="BD50" s="235"/>
    </row>
    <row r="51" spans="2:56">
      <c r="B51" s="314">
        <v>50</v>
      </c>
      <c r="C51" s="315" t="str">
        <f t="shared" si="4"/>
        <v/>
      </c>
      <c r="D51" s="316" t="str">
        <f t="shared" si="5"/>
        <v/>
      </c>
      <c r="E51" s="316" t="str">
        <f t="shared" si="6"/>
        <v/>
      </c>
      <c r="F51" s="1030" t="str">
        <f t="shared" si="7"/>
        <v/>
      </c>
      <c r="G51" s="1027"/>
      <c r="H51" s="235"/>
      <c r="I51" s="235"/>
      <c r="J51" s="235"/>
      <c r="K51" s="235"/>
      <c r="L51" s="235"/>
      <c r="M51" s="235"/>
      <c r="N51" s="235"/>
      <c r="O51" s="235"/>
      <c r="P51" s="235"/>
      <c r="Q51" s="235"/>
      <c r="R51" s="235"/>
      <c r="S51" s="235"/>
      <c r="T51" s="235"/>
      <c r="U51" s="235"/>
      <c r="V51" s="235"/>
      <c r="W51" s="235"/>
      <c r="X51" s="235"/>
      <c r="Y51" s="235"/>
      <c r="Z51" s="235"/>
      <c r="AA51" s="235"/>
      <c r="AB51" s="235"/>
      <c r="AC51" s="235"/>
      <c r="AD51" s="235"/>
      <c r="AE51" s="235"/>
      <c r="AF51" s="235"/>
      <c r="AG51" s="235"/>
      <c r="AH51" s="235"/>
      <c r="AI51" s="235"/>
      <c r="AJ51" s="235"/>
      <c r="AK51" s="235"/>
      <c r="AL51" s="235"/>
      <c r="AM51" s="235"/>
      <c r="AN51" s="235"/>
      <c r="AO51" s="235"/>
      <c r="AP51" s="235"/>
      <c r="AQ51" s="235"/>
      <c r="AR51" s="235"/>
      <c r="AS51" s="235"/>
      <c r="AT51" s="235"/>
      <c r="AU51" s="235"/>
      <c r="AV51" s="235"/>
      <c r="AW51" s="235"/>
      <c r="AX51" s="235"/>
      <c r="AY51" s="235"/>
      <c r="AZ51" s="235"/>
      <c r="BA51" s="235"/>
      <c r="BB51" s="235"/>
      <c r="BC51" s="235"/>
      <c r="BD51" s="235"/>
    </row>
    <row r="52" spans="2:56">
      <c r="B52" s="314">
        <v>51</v>
      </c>
      <c r="C52" s="315" t="str">
        <f t="shared" si="4"/>
        <v/>
      </c>
      <c r="D52" s="316" t="str">
        <f t="shared" si="5"/>
        <v/>
      </c>
      <c r="E52" s="316" t="str">
        <f t="shared" si="6"/>
        <v/>
      </c>
      <c r="F52" s="1030" t="str">
        <f t="shared" si="7"/>
        <v/>
      </c>
      <c r="G52" s="1027"/>
      <c r="H52" s="235"/>
      <c r="I52" s="235"/>
      <c r="J52" s="235"/>
      <c r="K52" s="235"/>
      <c r="L52" s="235"/>
      <c r="M52" s="235"/>
      <c r="N52" s="235"/>
      <c r="O52" s="235"/>
      <c r="P52" s="235"/>
      <c r="Q52" s="235"/>
      <c r="R52" s="235"/>
      <c r="S52" s="235"/>
      <c r="T52" s="235"/>
      <c r="U52" s="235"/>
      <c r="V52" s="235"/>
      <c r="W52" s="235"/>
      <c r="X52" s="235"/>
      <c r="Y52" s="235"/>
      <c r="Z52" s="235"/>
      <c r="AA52" s="235"/>
      <c r="AB52" s="235"/>
      <c r="AC52" s="235"/>
      <c r="AD52" s="235"/>
      <c r="AE52" s="235"/>
      <c r="AF52" s="235"/>
      <c r="AG52" s="235"/>
      <c r="AH52" s="235"/>
      <c r="AI52" s="235"/>
      <c r="AJ52" s="235"/>
      <c r="AK52" s="235"/>
      <c r="AL52" s="235"/>
      <c r="AM52" s="235"/>
      <c r="AN52" s="235"/>
      <c r="AO52" s="235"/>
      <c r="AP52" s="235"/>
      <c r="AQ52" s="235"/>
      <c r="AR52" s="235"/>
      <c r="AS52" s="235"/>
      <c r="AT52" s="235"/>
      <c r="AU52" s="235"/>
      <c r="AV52" s="235"/>
      <c r="AW52" s="235"/>
      <c r="AX52" s="235"/>
      <c r="AY52" s="235"/>
      <c r="AZ52" s="235"/>
      <c r="BA52" s="235"/>
      <c r="BB52" s="235"/>
      <c r="BC52" s="235"/>
      <c r="BD52" s="235"/>
    </row>
    <row r="53" spans="2:56">
      <c r="B53" s="314">
        <v>52</v>
      </c>
      <c r="C53" s="315" t="str">
        <f t="shared" si="4"/>
        <v/>
      </c>
      <c r="D53" s="316" t="str">
        <f t="shared" si="5"/>
        <v/>
      </c>
      <c r="E53" s="316" t="str">
        <f t="shared" si="6"/>
        <v/>
      </c>
      <c r="F53" s="1030" t="str">
        <f t="shared" si="7"/>
        <v/>
      </c>
      <c r="G53" s="1027"/>
      <c r="H53" s="235"/>
      <c r="I53" s="235"/>
      <c r="J53" s="235"/>
      <c r="K53" s="235"/>
      <c r="L53" s="235"/>
      <c r="M53" s="235"/>
      <c r="N53" s="235"/>
      <c r="O53" s="235"/>
      <c r="P53" s="235"/>
      <c r="Q53" s="235"/>
      <c r="R53" s="235"/>
      <c r="S53" s="235"/>
      <c r="T53" s="235"/>
      <c r="U53" s="235"/>
      <c r="V53" s="235"/>
      <c r="W53" s="235"/>
      <c r="X53" s="235"/>
      <c r="Y53" s="235"/>
      <c r="Z53" s="235"/>
      <c r="AA53" s="235"/>
      <c r="AB53" s="235"/>
      <c r="AC53" s="235"/>
      <c r="AD53" s="235"/>
      <c r="AE53" s="235"/>
      <c r="AF53" s="235"/>
      <c r="AG53" s="235"/>
      <c r="AH53" s="235"/>
      <c r="AI53" s="235"/>
      <c r="AJ53" s="235"/>
      <c r="AK53" s="235"/>
      <c r="AL53" s="235"/>
      <c r="AM53" s="235"/>
      <c r="AN53" s="235"/>
      <c r="AO53" s="235"/>
      <c r="AP53" s="235"/>
      <c r="AQ53" s="235"/>
      <c r="AR53" s="235"/>
      <c r="AS53" s="235"/>
      <c r="AT53" s="235"/>
      <c r="AU53" s="235"/>
      <c r="AV53" s="235"/>
      <c r="AW53" s="235"/>
      <c r="AX53" s="235"/>
      <c r="AY53" s="235"/>
      <c r="AZ53" s="235"/>
      <c r="BA53" s="235"/>
      <c r="BB53" s="235"/>
      <c r="BC53" s="235"/>
      <c r="BD53" s="235"/>
    </row>
    <row r="54" spans="2:56">
      <c r="B54" s="314">
        <v>53</v>
      </c>
      <c r="C54" s="315" t="str">
        <f t="shared" si="4"/>
        <v/>
      </c>
      <c r="D54" s="316" t="str">
        <f t="shared" si="5"/>
        <v/>
      </c>
      <c r="E54" s="316" t="str">
        <f t="shared" si="6"/>
        <v/>
      </c>
      <c r="F54" s="1030" t="str">
        <f t="shared" si="7"/>
        <v/>
      </c>
      <c r="G54" s="1027"/>
      <c r="H54" s="235"/>
      <c r="I54" s="235"/>
      <c r="J54" s="235"/>
      <c r="K54" s="235"/>
      <c r="L54" s="235"/>
      <c r="M54" s="235"/>
      <c r="N54" s="235"/>
      <c r="O54" s="235"/>
      <c r="P54" s="235"/>
      <c r="Q54" s="235"/>
      <c r="R54" s="235"/>
      <c r="S54" s="235"/>
      <c r="T54" s="235"/>
      <c r="U54" s="235"/>
      <c r="V54" s="235"/>
      <c r="W54" s="235"/>
      <c r="X54" s="235"/>
      <c r="Y54" s="235"/>
      <c r="Z54" s="235"/>
      <c r="AA54" s="235"/>
      <c r="AB54" s="235"/>
      <c r="AC54" s="235"/>
      <c r="AD54" s="235"/>
      <c r="AE54" s="235"/>
      <c r="AF54" s="235"/>
      <c r="AG54" s="235"/>
      <c r="AH54" s="235"/>
      <c r="AI54" s="235"/>
      <c r="AJ54" s="235"/>
      <c r="AK54" s="235"/>
      <c r="AL54" s="235"/>
      <c r="AM54" s="235"/>
      <c r="AN54" s="235"/>
      <c r="AO54" s="235"/>
      <c r="AP54" s="235"/>
      <c r="AQ54" s="235"/>
      <c r="AR54" s="235"/>
      <c r="AS54" s="235"/>
      <c r="AT54" s="235"/>
      <c r="AU54" s="235"/>
      <c r="AV54" s="235"/>
      <c r="AW54" s="235"/>
      <c r="AX54" s="235"/>
      <c r="AY54" s="235"/>
      <c r="AZ54" s="235"/>
      <c r="BA54" s="235"/>
      <c r="BB54" s="235"/>
      <c r="BC54" s="235"/>
      <c r="BD54" s="235"/>
    </row>
    <row r="55" spans="2:56">
      <c r="B55" s="314">
        <v>54</v>
      </c>
      <c r="C55" s="315" t="str">
        <f t="shared" si="4"/>
        <v/>
      </c>
      <c r="D55" s="316" t="str">
        <f t="shared" si="5"/>
        <v/>
      </c>
      <c r="E55" s="316" t="str">
        <f t="shared" si="6"/>
        <v/>
      </c>
      <c r="F55" s="1030" t="str">
        <f t="shared" si="7"/>
        <v/>
      </c>
      <c r="G55" s="1027"/>
      <c r="H55" s="235"/>
      <c r="I55" s="235"/>
      <c r="J55" s="235"/>
      <c r="K55" s="235"/>
      <c r="L55" s="235"/>
      <c r="M55" s="235"/>
      <c r="N55" s="235"/>
      <c r="O55" s="235"/>
      <c r="P55" s="235"/>
      <c r="Q55" s="235"/>
      <c r="R55" s="235"/>
      <c r="S55" s="235"/>
      <c r="T55" s="235"/>
      <c r="U55" s="235"/>
      <c r="V55" s="235"/>
      <c r="W55" s="235"/>
      <c r="X55" s="235"/>
      <c r="Y55" s="235"/>
      <c r="Z55" s="235"/>
      <c r="AA55" s="235"/>
      <c r="AB55" s="235"/>
      <c r="AC55" s="235"/>
      <c r="AD55" s="235"/>
      <c r="AE55" s="235"/>
      <c r="AF55" s="235"/>
      <c r="AG55" s="235"/>
      <c r="AH55" s="235"/>
      <c r="AI55" s="235"/>
      <c r="AJ55" s="235"/>
      <c r="AK55" s="235"/>
      <c r="AL55" s="235"/>
      <c r="AM55" s="235"/>
      <c r="AN55" s="235"/>
      <c r="AO55" s="235"/>
      <c r="AP55" s="235"/>
      <c r="AQ55" s="235"/>
      <c r="AR55" s="235"/>
      <c r="AS55" s="235"/>
      <c r="AT55" s="235"/>
      <c r="AU55" s="235"/>
      <c r="AV55" s="235"/>
      <c r="AW55" s="235"/>
      <c r="AX55" s="235"/>
      <c r="AY55" s="235"/>
      <c r="AZ55" s="235"/>
      <c r="BA55" s="235"/>
      <c r="BB55" s="235"/>
      <c r="BC55" s="235"/>
      <c r="BD55" s="235"/>
    </row>
    <row r="56" spans="2:56">
      <c r="B56" s="314">
        <v>55</v>
      </c>
      <c r="C56" s="315" t="str">
        <f t="shared" si="4"/>
        <v/>
      </c>
      <c r="D56" s="316" t="str">
        <f t="shared" si="5"/>
        <v/>
      </c>
      <c r="E56" s="316" t="str">
        <f t="shared" si="6"/>
        <v/>
      </c>
      <c r="F56" s="1030" t="str">
        <f t="shared" si="7"/>
        <v/>
      </c>
      <c r="G56" s="1027"/>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5"/>
      <c r="AY56" s="235"/>
      <c r="AZ56" s="235"/>
      <c r="BA56" s="235"/>
      <c r="BB56" s="235"/>
      <c r="BC56" s="235"/>
      <c r="BD56" s="235"/>
    </row>
    <row r="57" spans="2:56">
      <c r="B57" s="314">
        <v>56</v>
      </c>
      <c r="C57" s="315" t="str">
        <f t="shared" si="4"/>
        <v/>
      </c>
      <c r="D57" s="316" t="str">
        <f t="shared" si="5"/>
        <v/>
      </c>
      <c r="E57" s="316" t="str">
        <f t="shared" si="6"/>
        <v/>
      </c>
      <c r="F57" s="1030" t="str">
        <f t="shared" si="7"/>
        <v/>
      </c>
      <c r="G57" s="1027"/>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5"/>
      <c r="AY57" s="235"/>
      <c r="AZ57" s="235"/>
      <c r="BA57" s="235"/>
      <c r="BB57" s="235"/>
      <c r="BC57" s="235"/>
      <c r="BD57" s="235"/>
    </row>
    <row r="58" spans="2:56">
      <c r="B58" s="314">
        <v>57</v>
      </c>
      <c r="C58" s="315" t="str">
        <f t="shared" si="4"/>
        <v/>
      </c>
      <c r="D58" s="316" t="str">
        <f t="shared" si="5"/>
        <v/>
      </c>
      <c r="E58" s="316" t="str">
        <f t="shared" si="6"/>
        <v/>
      </c>
      <c r="F58" s="1030" t="str">
        <f t="shared" si="7"/>
        <v/>
      </c>
      <c r="G58" s="1027"/>
      <c r="H58" s="235"/>
      <c r="I58" s="235"/>
      <c r="J58" s="235"/>
      <c r="K58" s="235"/>
      <c r="L58" s="235"/>
      <c r="M58" s="235"/>
      <c r="N58" s="235"/>
      <c r="O58" s="235"/>
      <c r="P58" s="235"/>
      <c r="Q58" s="235"/>
      <c r="R58" s="235"/>
      <c r="S58" s="235"/>
      <c r="T58" s="235"/>
      <c r="U58" s="235"/>
      <c r="V58" s="235"/>
      <c r="W58" s="235"/>
      <c r="X58" s="235"/>
      <c r="Y58" s="235"/>
      <c r="Z58" s="235"/>
      <c r="AA58" s="235"/>
      <c r="AB58" s="235"/>
      <c r="AC58" s="235"/>
      <c r="AD58" s="235"/>
      <c r="AE58" s="235"/>
      <c r="AF58" s="235"/>
      <c r="AG58" s="235"/>
      <c r="AH58" s="235"/>
      <c r="AI58" s="235"/>
      <c r="AJ58" s="235"/>
      <c r="AK58" s="235"/>
      <c r="AL58" s="235"/>
      <c r="AM58" s="235"/>
      <c r="AN58" s="235"/>
      <c r="AO58" s="235"/>
      <c r="AP58" s="235"/>
      <c r="AQ58" s="235"/>
      <c r="AR58" s="235"/>
      <c r="AS58" s="235"/>
      <c r="AT58" s="235"/>
      <c r="AU58" s="235"/>
      <c r="AV58" s="235"/>
      <c r="AW58" s="235"/>
      <c r="AX58" s="235"/>
      <c r="AY58" s="235"/>
      <c r="AZ58" s="235"/>
      <c r="BA58" s="235"/>
      <c r="BB58" s="235"/>
      <c r="BC58" s="235"/>
      <c r="BD58" s="235"/>
    </row>
    <row r="59" spans="2:56">
      <c r="B59" s="314">
        <v>58</v>
      </c>
      <c r="C59" s="315" t="str">
        <f t="shared" si="4"/>
        <v/>
      </c>
      <c r="D59" s="316" t="str">
        <f t="shared" si="5"/>
        <v/>
      </c>
      <c r="E59" s="316" t="str">
        <f t="shared" si="6"/>
        <v/>
      </c>
      <c r="F59" s="1030" t="str">
        <f t="shared" si="7"/>
        <v/>
      </c>
      <c r="G59" s="1027"/>
      <c r="H59" s="235"/>
      <c r="I59" s="235"/>
      <c r="J59" s="235"/>
      <c r="K59" s="235"/>
      <c r="L59" s="235"/>
      <c r="M59" s="235"/>
      <c r="N59" s="235"/>
      <c r="O59" s="235"/>
      <c r="P59" s="235"/>
      <c r="Q59" s="235"/>
      <c r="R59" s="235"/>
      <c r="S59" s="235"/>
      <c r="T59" s="235"/>
      <c r="U59" s="235"/>
      <c r="V59" s="235"/>
      <c r="W59" s="235"/>
      <c r="X59" s="235"/>
      <c r="Y59" s="235"/>
      <c r="Z59" s="235"/>
      <c r="AA59" s="235"/>
      <c r="AB59" s="235"/>
      <c r="AC59" s="235"/>
      <c r="AD59" s="235"/>
      <c r="AE59" s="235"/>
      <c r="AF59" s="235"/>
      <c r="AG59" s="235"/>
      <c r="AH59" s="235"/>
      <c r="AI59" s="235"/>
      <c r="AJ59" s="235"/>
      <c r="AK59" s="235"/>
      <c r="AL59" s="235"/>
      <c r="AM59" s="235"/>
      <c r="AN59" s="235"/>
      <c r="AO59" s="235"/>
      <c r="AP59" s="235"/>
      <c r="AQ59" s="235"/>
      <c r="AR59" s="235"/>
      <c r="AS59" s="235"/>
      <c r="AT59" s="235"/>
      <c r="AU59" s="235"/>
      <c r="AV59" s="235"/>
      <c r="AW59" s="235"/>
      <c r="AX59" s="235"/>
      <c r="AY59" s="235"/>
      <c r="AZ59" s="235"/>
      <c r="BA59" s="235"/>
      <c r="BB59" s="235"/>
      <c r="BC59" s="235"/>
      <c r="BD59" s="235"/>
    </row>
    <row r="60" spans="2:56">
      <c r="B60" s="314">
        <v>59</v>
      </c>
      <c r="C60" s="315" t="str">
        <f t="shared" si="4"/>
        <v/>
      </c>
      <c r="D60" s="316" t="str">
        <f t="shared" si="5"/>
        <v/>
      </c>
      <c r="E60" s="316" t="str">
        <f t="shared" si="6"/>
        <v/>
      </c>
      <c r="F60" s="1030" t="str">
        <f t="shared" si="7"/>
        <v/>
      </c>
      <c r="G60" s="1027"/>
      <c r="H60" s="235"/>
      <c r="I60" s="235"/>
      <c r="J60" s="235"/>
      <c r="K60" s="235"/>
      <c r="L60" s="235"/>
      <c r="M60" s="235"/>
      <c r="N60" s="235"/>
      <c r="O60" s="235"/>
      <c r="P60" s="235"/>
      <c r="Q60" s="235"/>
      <c r="R60" s="235"/>
      <c r="S60" s="235"/>
      <c r="T60" s="235"/>
      <c r="U60" s="235"/>
      <c r="V60" s="235"/>
      <c r="W60" s="235"/>
      <c r="X60" s="235"/>
      <c r="Y60" s="235"/>
      <c r="Z60" s="235"/>
      <c r="AA60" s="235"/>
      <c r="AB60" s="235"/>
      <c r="AC60" s="235"/>
      <c r="AD60" s="235"/>
      <c r="AE60" s="235"/>
      <c r="AF60" s="235"/>
      <c r="AG60" s="235"/>
      <c r="AH60" s="235"/>
      <c r="AI60" s="235"/>
      <c r="AJ60" s="235"/>
      <c r="AK60" s="235"/>
      <c r="AL60" s="235"/>
      <c r="AM60" s="235"/>
      <c r="AN60" s="235"/>
      <c r="AO60" s="235"/>
      <c r="AP60" s="235"/>
      <c r="AQ60" s="235"/>
      <c r="AR60" s="235"/>
      <c r="AS60" s="235"/>
      <c r="AT60" s="235"/>
      <c r="AU60" s="235"/>
      <c r="AV60" s="235"/>
      <c r="AW60" s="235"/>
      <c r="AX60" s="235"/>
      <c r="AY60" s="235"/>
      <c r="AZ60" s="235"/>
      <c r="BA60" s="235"/>
      <c r="BB60" s="235"/>
      <c r="BC60" s="235"/>
      <c r="BD60" s="235"/>
    </row>
    <row r="61" spans="2:56">
      <c r="B61" s="314">
        <v>60</v>
      </c>
      <c r="C61" s="315" t="str">
        <f t="shared" si="4"/>
        <v/>
      </c>
      <c r="D61" s="316" t="str">
        <f t="shared" si="5"/>
        <v/>
      </c>
      <c r="E61" s="316" t="str">
        <f t="shared" si="6"/>
        <v/>
      </c>
      <c r="F61" s="1030" t="str">
        <f t="shared" si="7"/>
        <v/>
      </c>
      <c r="G61" s="1027"/>
      <c r="H61" s="235"/>
      <c r="I61" s="235"/>
      <c r="J61" s="235"/>
      <c r="K61" s="235"/>
      <c r="L61" s="235"/>
      <c r="M61" s="235"/>
      <c r="N61" s="235"/>
      <c r="O61" s="235"/>
      <c r="P61" s="235"/>
      <c r="Q61" s="235"/>
      <c r="R61" s="235"/>
      <c r="S61" s="235"/>
      <c r="T61" s="235"/>
      <c r="U61" s="235"/>
      <c r="V61" s="235"/>
      <c r="W61" s="235"/>
      <c r="X61" s="235"/>
      <c r="Y61" s="235"/>
      <c r="Z61" s="235"/>
      <c r="AA61" s="235"/>
      <c r="AB61" s="235"/>
      <c r="AC61" s="235"/>
      <c r="AD61" s="235"/>
      <c r="AE61" s="235"/>
      <c r="AF61" s="235"/>
      <c r="AG61" s="235"/>
      <c r="AH61" s="235"/>
      <c r="AI61" s="235"/>
      <c r="AJ61" s="235"/>
      <c r="AK61" s="235"/>
      <c r="AL61" s="235"/>
      <c r="AM61" s="235"/>
      <c r="AN61" s="235"/>
      <c r="AO61" s="235"/>
      <c r="AP61" s="235"/>
      <c r="AQ61" s="235"/>
      <c r="AR61" s="235"/>
      <c r="AS61" s="235"/>
      <c r="AT61" s="235"/>
      <c r="AU61" s="235"/>
      <c r="AV61" s="235"/>
      <c r="AW61" s="235"/>
      <c r="AX61" s="235"/>
      <c r="AY61" s="235"/>
      <c r="AZ61" s="235"/>
      <c r="BA61" s="235"/>
      <c r="BB61" s="235"/>
      <c r="BC61" s="235"/>
      <c r="BD61" s="235"/>
    </row>
    <row r="62" spans="2:56">
      <c r="B62" s="314">
        <v>61</v>
      </c>
      <c r="C62" s="315" t="str">
        <f t="shared" si="4"/>
        <v/>
      </c>
      <c r="D62" s="316" t="str">
        <f t="shared" si="5"/>
        <v/>
      </c>
      <c r="E62" s="316" t="str">
        <f t="shared" si="6"/>
        <v/>
      </c>
      <c r="F62" s="1030" t="str">
        <f t="shared" si="7"/>
        <v/>
      </c>
      <c r="G62" s="1027"/>
      <c r="H62" s="235"/>
      <c r="I62" s="235"/>
      <c r="J62" s="235"/>
      <c r="K62" s="235"/>
      <c r="L62" s="235"/>
      <c r="M62" s="235"/>
      <c r="N62" s="235"/>
      <c r="O62" s="235"/>
      <c r="P62" s="235"/>
      <c r="Q62" s="235"/>
      <c r="R62" s="235"/>
      <c r="S62" s="235"/>
      <c r="T62" s="235"/>
      <c r="U62" s="235"/>
      <c r="V62" s="235"/>
      <c r="W62" s="235"/>
      <c r="X62" s="235"/>
      <c r="Y62" s="235"/>
      <c r="Z62" s="235"/>
      <c r="AA62" s="235"/>
      <c r="AB62" s="235"/>
      <c r="AC62" s="235"/>
      <c r="AD62" s="235"/>
      <c r="AE62" s="235"/>
      <c r="AF62" s="235"/>
      <c r="AG62" s="235"/>
      <c r="AH62" s="235"/>
      <c r="AI62" s="235"/>
      <c r="AJ62" s="235"/>
      <c r="AK62" s="235"/>
      <c r="AL62" s="235"/>
      <c r="AM62" s="235"/>
      <c r="AN62" s="235"/>
      <c r="AO62" s="235"/>
      <c r="AP62" s="235"/>
      <c r="AQ62" s="235"/>
      <c r="AR62" s="235"/>
      <c r="AS62" s="235"/>
      <c r="AT62" s="235"/>
      <c r="AU62" s="235"/>
      <c r="AV62" s="235"/>
      <c r="AW62" s="235"/>
      <c r="AX62" s="235"/>
      <c r="AY62" s="235"/>
      <c r="AZ62" s="235"/>
      <c r="BA62" s="235"/>
      <c r="BB62" s="235"/>
      <c r="BC62" s="235"/>
      <c r="BD62" s="235"/>
    </row>
    <row r="63" spans="2:56">
      <c r="B63" s="314">
        <v>62</v>
      </c>
      <c r="C63" s="315" t="str">
        <f t="shared" si="4"/>
        <v/>
      </c>
      <c r="D63" s="316" t="str">
        <f t="shared" si="5"/>
        <v/>
      </c>
      <c r="E63" s="316" t="str">
        <f t="shared" si="6"/>
        <v/>
      </c>
      <c r="F63" s="1030" t="str">
        <f t="shared" si="7"/>
        <v/>
      </c>
      <c r="G63" s="1027"/>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5"/>
      <c r="AY63" s="235"/>
      <c r="AZ63" s="235"/>
      <c r="BA63" s="235"/>
      <c r="BB63" s="235"/>
      <c r="BC63" s="235"/>
      <c r="BD63" s="235"/>
    </row>
    <row r="64" spans="2:56">
      <c r="B64" s="314">
        <v>63</v>
      </c>
      <c r="C64" s="315" t="str">
        <f t="shared" si="4"/>
        <v/>
      </c>
      <c r="D64" s="316" t="str">
        <f t="shared" si="5"/>
        <v/>
      </c>
      <c r="E64" s="316" t="str">
        <f t="shared" si="6"/>
        <v/>
      </c>
      <c r="F64" s="1030" t="str">
        <f t="shared" si="7"/>
        <v/>
      </c>
      <c r="G64" s="1027"/>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5"/>
      <c r="AY64" s="235"/>
      <c r="AZ64" s="235"/>
      <c r="BA64" s="235"/>
      <c r="BB64" s="235"/>
      <c r="BC64" s="235"/>
      <c r="BD64" s="235"/>
    </row>
    <row r="65" spans="2:56">
      <c r="B65" s="314">
        <v>64</v>
      </c>
      <c r="C65" s="315" t="str">
        <f t="shared" si="4"/>
        <v/>
      </c>
      <c r="D65" s="316" t="str">
        <f t="shared" si="5"/>
        <v/>
      </c>
      <c r="E65" s="316" t="str">
        <f t="shared" si="6"/>
        <v/>
      </c>
      <c r="F65" s="1030" t="str">
        <f t="shared" si="7"/>
        <v/>
      </c>
      <c r="G65" s="1027"/>
      <c r="H65" s="235"/>
      <c r="I65" s="235"/>
      <c r="J65" s="235"/>
      <c r="K65" s="235"/>
      <c r="L65" s="235"/>
      <c r="M65" s="235"/>
      <c r="N65" s="235"/>
      <c r="O65" s="235"/>
      <c r="P65" s="235"/>
      <c r="Q65" s="235"/>
      <c r="R65" s="235"/>
      <c r="S65" s="235"/>
      <c r="T65" s="235"/>
      <c r="U65" s="235"/>
      <c r="V65" s="235"/>
      <c r="W65" s="235"/>
      <c r="X65" s="235"/>
      <c r="Y65" s="235"/>
      <c r="Z65" s="235"/>
      <c r="AA65" s="235"/>
      <c r="AB65" s="235"/>
      <c r="AC65" s="235"/>
      <c r="AD65" s="235"/>
      <c r="AE65" s="235"/>
      <c r="AF65" s="235"/>
      <c r="AG65" s="235"/>
      <c r="AH65" s="235"/>
      <c r="AI65" s="235"/>
      <c r="AJ65" s="235"/>
      <c r="AK65" s="235"/>
      <c r="AL65" s="235"/>
      <c r="AM65" s="235"/>
      <c r="AN65" s="235"/>
      <c r="AO65" s="235"/>
      <c r="AP65" s="235"/>
      <c r="AQ65" s="235"/>
      <c r="AR65" s="235"/>
      <c r="AS65" s="235"/>
      <c r="AT65" s="235"/>
      <c r="AU65" s="235"/>
      <c r="AV65" s="235"/>
      <c r="AW65" s="235"/>
      <c r="AX65" s="235"/>
      <c r="AY65" s="235"/>
      <c r="AZ65" s="235"/>
      <c r="BA65" s="235"/>
      <c r="BB65" s="235"/>
      <c r="BC65" s="235"/>
      <c r="BD65" s="235"/>
    </row>
    <row r="66" spans="2:56">
      <c r="B66" s="314">
        <v>65</v>
      </c>
      <c r="C66" s="315" t="str">
        <f t="shared" ref="C66:C100" si="8">IFERROR(AVERAGE(G66:IV66), "")</f>
        <v/>
      </c>
      <c r="D66" s="316" t="str">
        <f t="shared" ref="D66:D100" si="9">IF(COUNT(G66:IV66)=0, "", COUNT(G66:IV66))</f>
        <v/>
      </c>
      <c r="E66" s="316" t="str">
        <f t="shared" ref="E66:E97" si="10">IF(F66="", "", MAX(G66:IV66)-MIN(G66:IV66))</f>
        <v/>
      </c>
      <c r="F66" s="1030" t="str">
        <f t="shared" ref="F66:F97" si="11">IFERROR(STDEV(G66:IV66), "")</f>
        <v/>
      </c>
      <c r="G66" s="1027"/>
      <c r="H66" s="235"/>
      <c r="I66" s="235"/>
      <c r="J66" s="235"/>
      <c r="K66" s="235"/>
      <c r="L66" s="235"/>
      <c r="M66" s="235"/>
      <c r="N66" s="235"/>
      <c r="O66" s="235"/>
      <c r="P66" s="235"/>
      <c r="Q66" s="235"/>
      <c r="R66" s="235"/>
      <c r="S66" s="235"/>
      <c r="T66" s="235"/>
      <c r="U66" s="235"/>
      <c r="V66" s="235"/>
      <c r="W66" s="235"/>
      <c r="X66" s="235"/>
      <c r="Y66" s="235"/>
      <c r="Z66" s="235"/>
      <c r="AA66" s="235"/>
      <c r="AB66" s="235"/>
      <c r="AC66" s="235"/>
      <c r="AD66" s="235"/>
      <c r="AE66" s="235"/>
      <c r="AF66" s="235"/>
      <c r="AG66" s="235"/>
      <c r="AH66" s="235"/>
      <c r="AI66" s="235"/>
      <c r="AJ66" s="235"/>
      <c r="AK66" s="235"/>
      <c r="AL66" s="235"/>
      <c r="AM66" s="235"/>
      <c r="AN66" s="235"/>
      <c r="AO66" s="235"/>
      <c r="AP66" s="235"/>
      <c r="AQ66" s="235"/>
      <c r="AR66" s="235"/>
      <c r="AS66" s="235"/>
      <c r="AT66" s="235"/>
      <c r="AU66" s="235"/>
      <c r="AV66" s="235"/>
      <c r="AW66" s="235"/>
      <c r="AX66" s="235"/>
      <c r="AY66" s="235"/>
      <c r="AZ66" s="235"/>
      <c r="BA66" s="235"/>
      <c r="BB66" s="235"/>
      <c r="BC66" s="235"/>
      <c r="BD66" s="235"/>
    </row>
    <row r="67" spans="2:56">
      <c r="B67" s="314">
        <v>66</v>
      </c>
      <c r="C67" s="315" t="str">
        <f t="shared" si="8"/>
        <v/>
      </c>
      <c r="D67" s="316" t="str">
        <f t="shared" si="9"/>
        <v/>
      </c>
      <c r="E67" s="316" t="str">
        <f t="shared" si="10"/>
        <v/>
      </c>
      <c r="F67" s="1030" t="str">
        <f t="shared" si="11"/>
        <v/>
      </c>
      <c r="G67" s="1027"/>
      <c r="H67" s="235"/>
      <c r="I67" s="235"/>
      <c r="J67" s="235"/>
      <c r="K67" s="235"/>
      <c r="L67" s="235"/>
      <c r="M67" s="235"/>
      <c r="N67" s="235"/>
      <c r="O67" s="235"/>
      <c r="P67" s="235"/>
      <c r="Q67" s="235"/>
      <c r="R67" s="235"/>
      <c r="S67" s="235"/>
      <c r="T67" s="235"/>
      <c r="U67" s="235"/>
      <c r="V67" s="235"/>
      <c r="W67" s="235"/>
      <c r="X67" s="235"/>
      <c r="Y67" s="235"/>
      <c r="Z67" s="235"/>
      <c r="AA67" s="235"/>
      <c r="AB67" s="235"/>
      <c r="AC67" s="235"/>
      <c r="AD67" s="235"/>
      <c r="AE67" s="235"/>
      <c r="AF67" s="235"/>
      <c r="AG67" s="235"/>
      <c r="AH67" s="235"/>
      <c r="AI67" s="235"/>
      <c r="AJ67" s="235"/>
      <c r="AK67" s="235"/>
      <c r="AL67" s="235"/>
      <c r="AM67" s="235"/>
      <c r="AN67" s="235"/>
      <c r="AO67" s="235"/>
      <c r="AP67" s="235"/>
      <c r="AQ67" s="235"/>
      <c r="AR67" s="235"/>
      <c r="AS67" s="235"/>
      <c r="AT67" s="235"/>
      <c r="AU67" s="235"/>
      <c r="AV67" s="235"/>
      <c r="AW67" s="235"/>
      <c r="AX67" s="235"/>
      <c r="AY67" s="235"/>
      <c r="AZ67" s="235"/>
      <c r="BA67" s="235"/>
      <c r="BB67" s="235"/>
      <c r="BC67" s="235"/>
      <c r="BD67" s="235"/>
    </row>
    <row r="68" spans="2:56">
      <c r="B68" s="314">
        <v>67</v>
      </c>
      <c r="C68" s="315" t="str">
        <f t="shared" si="8"/>
        <v/>
      </c>
      <c r="D68" s="316" t="str">
        <f t="shared" si="9"/>
        <v/>
      </c>
      <c r="E68" s="316" t="str">
        <f t="shared" si="10"/>
        <v/>
      </c>
      <c r="F68" s="1030" t="str">
        <f t="shared" si="11"/>
        <v/>
      </c>
      <c r="G68" s="1027"/>
      <c r="H68" s="235"/>
      <c r="I68" s="235"/>
      <c r="J68" s="235"/>
      <c r="K68" s="235"/>
      <c r="L68" s="235"/>
      <c r="M68" s="235"/>
      <c r="N68" s="235"/>
      <c r="O68" s="235"/>
      <c r="P68" s="235"/>
      <c r="Q68" s="235"/>
      <c r="R68" s="235"/>
      <c r="S68" s="235"/>
      <c r="T68" s="235"/>
      <c r="U68" s="235"/>
      <c r="V68" s="235"/>
      <c r="W68" s="235"/>
      <c r="X68" s="235"/>
      <c r="Y68" s="235"/>
      <c r="Z68" s="235"/>
      <c r="AA68" s="235"/>
      <c r="AB68" s="235"/>
      <c r="AC68" s="235"/>
      <c r="AD68" s="235"/>
      <c r="AE68" s="235"/>
      <c r="AF68" s="235"/>
      <c r="AG68" s="235"/>
      <c r="AH68" s="235"/>
      <c r="AI68" s="235"/>
      <c r="AJ68" s="235"/>
      <c r="AK68" s="235"/>
      <c r="AL68" s="235"/>
      <c r="AM68" s="235"/>
      <c r="AN68" s="235"/>
      <c r="AO68" s="235"/>
      <c r="AP68" s="235"/>
      <c r="AQ68" s="235"/>
      <c r="AR68" s="235"/>
      <c r="AS68" s="235"/>
      <c r="AT68" s="235"/>
      <c r="AU68" s="235"/>
      <c r="AV68" s="235"/>
      <c r="AW68" s="235"/>
      <c r="AX68" s="235"/>
      <c r="AY68" s="235"/>
      <c r="AZ68" s="235"/>
      <c r="BA68" s="235"/>
      <c r="BB68" s="235"/>
      <c r="BC68" s="235"/>
      <c r="BD68" s="235"/>
    </row>
    <row r="69" spans="2:56">
      <c r="B69" s="314">
        <v>68</v>
      </c>
      <c r="C69" s="315" t="str">
        <f t="shared" si="8"/>
        <v/>
      </c>
      <c r="D69" s="316" t="str">
        <f t="shared" si="9"/>
        <v/>
      </c>
      <c r="E69" s="316" t="str">
        <f t="shared" si="10"/>
        <v/>
      </c>
      <c r="F69" s="1030" t="str">
        <f t="shared" si="11"/>
        <v/>
      </c>
      <c r="G69" s="1027"/>
      <c r="H69" s="235"/>
      <c r="I69" s="235"/>
      <c r="J69" s="235"/>
      <c r="K69" s="235"/>
      <c r="L69" s="235"/>
      <c r="M69" s="235"/>
      <c r="N69" s="235"/>
      <c r="O69" s="235"/>
      <c r="P69" s="235"/>
      <c r="Q69" s="235"/>
      <c r="R69" s="235"/>
      <c r="S69" s="235"/>
      <c r="T69" s="235"/>
      <c r="U69" s="235"/>
      <c r="V69" s="235"/>
      <c r="W69" s="235"/>
      <c r="X69" s="235"/>
      <c r="Y69" s="235"/>
      <c r="Z69" s="235"/>
      <c r="AA69" s="235"/>
      <c r="AB69" s="235"/>
      <c r="AC69" s="235"/>
      <c r="AD69" s="235"/>
      <c r="AE69" s="235"/>
      <c r="AF69" s="235"/>
      <c r="AG69" s="235"/>
      <c r="AH69" s="235"/>
      <c r="AI69" s="235"/>
      <c r="AJ69" s="235"/>
      <c r="AK69" s="235"/>
      <c r="AL69" s="235"/>
      <c r="AM69" s="235"/>
      <c r="AN69" s="235"/>
      <c r="AO69" s="235"/>
      <c r="AP69" s="235"/>
      <c r="AQ69" s="235"/>
      <c r="AR69" s="235"/>
      <c r="AS69" s="235"/>
      <c r="AT69" s="235"/>
      <c r="AU69" s="235"/>
      <c r="AV69" s="235"/>
      <c r="AW69" s="235"/>
      <c r="AX69" s="235"/>
      <c r="AY69" s="235"/>
      <c r="AZ69" s="235"/>
      <c r="BA69" s="235"/>
      <c r="BB69" s="235"/>
      <c r="BC69" s="235"/>
      <c r="BD69" s="235"/>
    </row>
    <row r="70" spans="2:56">
      <c r="B70" s="314">
        <v>69</v>
      </c>
      <c r="C70" s="315" t="str">
        <f t="shared" si="8"/>
        <v/>
      </c>
      <c r="D70" s="316" t="str">
        <f t="shared" si="9"/>
        <v/>
      </c>
      <c r="E70" s="316" t="str">
        <f t="shared" si="10"/>
        <v/>
      </c>
      <c r="F70" s="1030" t="str">
        <f t="shared" si="11"/>
        <v/>
      </c>
      <c r="G70" s="1027"/>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5"/>
      <c r="AY70" s="235"/>
      <c r="AZ70" s="235"/>
      <c r="BA70" s="235"/>
      <c r="BB70" s="235"/>
      <c r="BC70" s="235"/>
      <c r="BD70" s="235"/>
    </row>
    <row r="71" spans="2:56">
      <c r="B71" s="314">
        <v>70</v>
      </c>
      <c r="C71" s="315" t="str">
        <f t="shared" si="8"/>
        <v/>
      </c>
      <c r="D71" s="316" t="str">
        <f t="shared" si="9"/>
        <v/>
      </c>
      <c r="E71" s="316" t="str">
        <f t="shared" si="10"/>
        <v/>
      </c>
      <c r="F71" s="1030" t="str">
        <f t="shared" si="11"/>
        <v/>
      </c>
      <c r="G71" s="1027"/>
      <c r="H71" s="235"/>
      <c r="I71" s="235"/>
      <c r="J71" s="235"/>
      <c r="K71" s="235"/>
      <c r="L71" s="235"/>
      <c r="M71" s="235"/>
      <c r="N71" s="235"/>
      <c r="O71" s="235"/>
      <c r="P71" s="235"/>
      <c r="Q71" s="235"/>
      <c r="R71" s="235"/>
      <c r="S71" s="235"/>
      <c r="T71" s="235"/>
      <c r="U71" s="235"/>
      <c r="V71" s="235"/>
      <c r="W71" s="235"/>
      <c r="X71" s="235"/>
      <c r="Y71" s="235"/>
      <c r="Z71" s="235"/>
      <c r="AA71" s="235"/>
      <c r="AB71" s="235"/>
      <c r="AC71" s="235"/>
      <c r="AD71" s="235"/>
      <c r="AE71" s="235"/>
      <c r="AF71" s="235"/>
      <c r="AG71" s="235"/>
      <c r="AH71" s="235"/>
      <c r="AI71" s="235"/>
      <c r="AJ71" s="235"/>
      <c r="AK71" s="235"/>
      <c r="AL71" s="235"/>
      <c r="AM71" s="235"/>
      <c r="AN71" s="235"/>
      <c r="AO71" s="235"/>
      <c r="AP71" s="235"/>
      <c r="AQ71" s="235"/>
      <c r="AR71" s="235"/>
      <c r="AS71" s="235"/>
      <c r="AT71" s="235"/>
      <c r="AU71" s="235"/>
      <c r="AV71" s="235"/>
      <c r="AW71" s="235"/>
      <c r="AX71" s="235"/>
      <c r="AY71" s="235"/>
      <c r="AZ71" s="235"/>
      <c r="BA71" s="235"/>
      <c r="BB71" s="235"/>
      <c r="BC71" s="235"/>
      <c r="BD71" s="235"/>
    </row>
    <row r="72" spans="2:56">
      <c r="B72" s="314">
        <v>71</v>
      </c>
      <c r="C72" s="315" t="str">
        <f t="shared" si="8"/>
        <v/>
      </c>
      <c r="D72" s="316" t="str">
        <f t="shared" si="9"/>
        <v/>
      </c>
      <c r="E72" s="316" t="str">
        <f t="shared" si="10"/>
        <v/>
      </c>
      <c r="F72" s="1030" t="str">
        <f t="shared" si="11"/>
        <v/>
      </c>
      <c r="G72" s="1027"/>
      <c r="H72" s="235"/>
      <c r="I72" s="235"/>
      <c r="J72" s="235"/>
      <c r="K72" s="235"/>
      <c r="L72" s="235"/>
      <c r="M72" s="235"/>
      <c r="N72" s="235"/>
      <c r="O72" s="235"/>
      <c r="P72" s="235"/>
      <c r="Q72" s="235"/>
      <c r="R72" s="235"/>
      <c r="S72" s="235"/>
      <c r="T72" s="235"/>
      <c r="U72" s="235"/>
      <c r="V72" s="235"/>
      <c r="W72" s="235"/>
      <c r="X72" s="235"/>
      <c r="Y72" s="235"/>
      <c r="Z72" s="235"/>
      <c r="AA72" s="235"/>
      <c r="AB72" s="235"/>
      <c r="AC72" s="235"/>
      <c r="AD72" s="235"/>
      <c r="AE72" s="235"/>
      <c r="AF72" s="235"/>
      <c r="AG72" s="235"/>
      <c r="AH72" s="235"/>
      <c r="AI72" s="235"/>
      <c r="AJ72" s="235"/>
      <c r="AK72" s="235"/>
      <c r="AL72" s="235"/>
      <c r="AM72" s="235"/>
      <c r="AN72" s="235"/>
      <c r="AO72" s="235"/>
      <c r="AP72" s="235"/>
      <c r="AQ72" s="235"/>
      <c r="AR72" s="235"/>
      <c r="AS72" s="235"/>
      <c r="AT72" s="235"/>
      <c r="AU72" s="235"/>
      <c r="AV72" s="235"/>
      <c r="AW72" s="235"/>
      <c r="AX72" s="235"/>
      <c r="AY72" s="235"/>
      <c r="AZ72" s="235"/>
      <c r="BA72" s="235"/>
      <c r="BB72" s="235"/>
      <c r="BC72" s="235"/>
      <c r="BD72" s="235"/>
    </row>
    <row r="73" spans="2:56">
      <c r="B73" s="314">
        <v>72</v>
      </c>
      <c r="C73" s="315" t="str">
        <f t="shared" si="8"/>
        <v/>
      </c>
      <c r="D73" s="316" t="str">
        <f t="shared" si="9"/>
        <v/>
      </c>
      <c r="E73" s="316" t="str">
        <f t="shared" si="10"/>
        <v/>
      </c>
      <c r="F73" s="1030" t="str">
        <f t="shared" si="11"/>
        <v/>
      </c>
      <c r="G73" s="1027"/>
      <c r="H73" s="235"/>
      <c r="I73" s="235"/>
      <c r="J73" s="235"/>
      <c r="K73" s="235"/>
      <c r="L73" s="235"/>
      <c r="M73" s="235"/>
      <c r="N73" s="235"/>
      <c r="O73" s="235"/>
      <c r="P73" s="235"/>
      <c r="Q73" s="235"/>
      <c r="R73" s="235"/>
      <c r="S73" s="235"/>
      <c r="T73" s="235"/>
      <c r="U73" s="235"/>
      <c r="V73" s="235"/>
      <c r="W73" s="235"/>
      <c r="X73" s="235"/>
      <c r="Y73" s="235"/>
      <c r="Z73" s="235"/>
      <c r="AA73" s="235"/>
      <c r="AB73" s="235"/>
      <c r="AC73" s="235"/>
      <c r="AD73" s="235"/>
      <c r="AE73" s="235"/>
      <c r="AF73" s="235"/>
      <c r="AG73" s="235"/>
      <c r="AH73" s="235"/>
      <c r="AI73" s="235"/>
      <c r="AJ73" s="235"/>
      <c r="AK73" s="235"/>
      <c r="AL73" s="235"/>
      <c r="AM73" s="235"/>
      <c r="AN73" s="235"/>
      <c r="AO73" s="235"/>
      <c r="AP73" s="235"/>
      <c r="AQ73" s="235"/>
      <c r="AR73" s="235"/>
      <c r="AS73" s="235"/>
      <c r="AT73" s="235"/>
      <c r="AU73" s="235"/>
      <c r="AV73" s="235"/>
      <c r="AW73" s="235"/>
      <c r="AX73" s="235"/>
      <c r="AY73" s="235"/>
      <c r="AZ73" s="235"/>
      <c r="BA73" s="235"/>
      <c r="BB73" s="235"/>
      <c r="BC73" s="235"/>
      <c r="BD73" s="235"/>
    </row>
    <row r="74" spans="2:56">
      <c r="B74" s="314">
        <v>73</v>
      </c>
      <c r="C74" s="315" t="str">
        <f t="shared" si="8"/>
        <v/>
      </c>
      <c r="D74" s="316" t="str">
        <f t="shared" si="9"/>
        <v/>
      </c>
      <c r="E74" s="316" t="str">
        <f t="shared" si="10"/>
        <v/>
      </c>
      <c r="F74" s="1030" t="str">
        <f t="shared" si="11"/>
        <v/>
      </c>
      <c r="G74" s="1027"/>
      <c r="H74" s="235"/>
      <c r="I74" s="235"/>
      <c r="J74" s="235"/>
      <c r="K74" s="235"/>
      <c r="L74" s="235"/>
      <c r="M74" s="235"/>
      <c r="N74" s="235"/>
      <c r="O74" s="235"/>
      <c r="P74" s="235"/>
      <c r="Q74" s="235"/>
      <c r="R74" s="235"/>
      <c r="S74" s="235"/>
      <c r="T74" s="235"/>
      <c r="U74" s="235"/>
      <c r="V74" s="235"/>
      <c r="W74" s="235"/>
      <c r="X74" s="235"/>
      <c r="Y74" s="235"/>
      <c r="Z74" s="235"/>
      <c r="AA74" s="235"/>
      <c r="AB74" s="235"/>
      <c r="AC74" s="235"/>
      <c r="AD74" s="235"/>
      <c r="AE74" s="235"/>
      <c r="AF74" s="235"/>
      <c r="AG74" s="235"/>
      <c r="AH74" s="235"/>
      <c r="AI74" s="235"/>
      <c r="AJ74" s="235"/>
      <c r="AK74" s="235"/>
      <c r="AL74" s="235"/>
      <c r="AM74" s="235"/>
      <c r="AN74" s="235"/>
      <c r="AO74" s="235"/>
      <c r="AP74" s="235"/>
      <c r="AQ74" s="235"/>
      <c r="AR74" s="235"/>
      <c r="AS74" s="235"/>
      <c r="AT74" s="235"/>
      <c r="AU74" s="235"/>
      <c r="AV74" s="235"/>
      <c r="AW74" s="235"/>
      <c r="AX74" s="235"/>
      <c r="AY74" s="235"/>
      <c r="AZ74" s="235"/>
      <c r="BA74" s="235"/>
      <c r="BB74" s="235"/>
      <c r="BC74" s="235"/>
      <c r="BD74" s="235"/>
    </row>
    <row r="75" spans="2:56">
      <c r="B75" s="314">
        <v>74</v>
      </c>
      <c r="C75" s="315" t="str">
        <f t="shared" si="8"/>
        <v/>
      </c>
      <c r="D75" s="316" t="str">
        <f t="shared" si="9"/>
        <v/>
      </c>
      <c r="E75" s="316" t="str">
        <f t="shared" si="10"/>
        <v/>
      </c>
      <c r="F75" s="1030" t="str">
        <f t="shared" si="11"/>
        <v/>
      </c>
      <c r="G75" s="1027"/>
      <c r="H75" s="235"/>
      <c r="I75" s="235"/>
      <c r="J75" s="235"/>
      <c r="K75" s="235"/>
      <c r="L75" s="235"/>
      <c r="M75" s="235"/>
      <c r="N75" s="235"/>
      <c r="O75" s="235"/>
      <c r="P75" s="235"/>
      <c r="Q75" s="235"/>
      <c r="R75" s="235"/>
      <c r="S75" s="235"/>
      <c r="T75" s="235"/>
      <c r="U75" s="235"/>
      <c r="V75" s="235"/>
      <c r="W75" s="235"/>
      <c r="X75" s="235"/>
      <c r="Y75" s="235"/>
      <c r="Z75" s="235"/>
      <c r="AA75" s="235"/>
      <c r="AB75" s="235"/>
      <c r="AC75" s="235"/>
      <c r="AD75" s="235"/>
      <c r="AE75" s="235"/>
      <c r="AF75" s="235"/>
      <c r="AG75" s="235"/>
      <c r="AH75" s="235"/>
      <c r="AI75" s="235"/>
      <c r="AJ75" s="235"/>
      <c r="AK75" s="235"/>
      <c r="AL75" s="235"/>
      <c r="AM75" s="235"/>
      <c r="AN75" s="235"/>
      <c r="AO75" s="235"/>
      <c r="AP75" s="235"/>
      <c r="AQ75" s="235"/>
      <c r="AR75" s="235"/>
      <c r="AS75" s="235"/>
      <c r="AT75" s="235"/>
      <c r="AU75" s="235"/>
      <c r="AV75" s="235"/>
      <c r="AW75" s="235"/>
      <c r="AX75" s="235"/>
      <c r="AY75" s="235"/>
      <c r="AZ75" s="235"/>
      <c r="BA75" s="235"/>
      <c r="BB75" s="235"/>
      <c r="BC75" s="235"/>
      <c r="BD75" s="235"/>
    </row>
    <row r="76" spans="2:56">
      <c r="B76" s="314">
        <v>75</v>
      </c>
      <c r="C76" s="315" t="str">
        <f t="shared" si="8"/>
        <v/>
      </c>
      <c r="D76" s="316" t="str">
        <f t="shared" si="9"/>
        <v/>
      </c>
      <c r="E76" s="316" t="str">
        <f t="shared" si="10"/>
        <v/>
      </c>
      <c r="F76" s="1030" t="str">
        <f t="shared" si="11"/>
        <v/>
      </c>
      <c r="G76" s="1027"/>
      <c r="H76" s="235"/>
      <c r="I76" s="235"/>
      <c r="J76" s="235"/>
      <c r="K76" s="235"/>
      <c r="L76" s="235"/>
      <c r="M76" s="235"/>
      <c r="N76" s="235"/>
      <c r="O76" s="235"/>
      <c r="P76" s="235"/>
      <c r="Q76" s="235"/>
      <c r="R76" s="235"/>
      <c r="S76" s="235"/>
      <c r="T76" s="235"/>
      <c r="U76" s="235"/>
      <c r="V76" s="235"/>
      <c r="W76" s="235"/>
      <c r="X76" s="235"/>
      <c r="Y76" s="235"/>
      <c r="Z76" s="235"/>
      <c r="AA76" s="235"/>
      <c r="AB76" s="235"/>
      <c r="AC76" s="235"/>
      <c r="AD76" s="235"/>
      <c r="AE76" s="235"/>
      <c r="AF76" s="235"/>
      <c r="AG76" s="235"/>
      <c r="AH76" s="235"/>
      <c r="AI76" s="235"/>
      <c r="AJ76" s="235"/>
      <c r="AK76" s="235"/>
      <c r="AL76" s="235"/>
      <c r="AM76" s="235"/>
      <c r="AN76" s="235"/>
      <c r="AO76" s="235"/>
      <c r="AP76" s="235"/>
      <c r="AQ76" s="235"/>
      <c r="AR76" s="235"/>
      <c r="AS76" s="235"/>
      <c r="AT76" s="235"/>
      <c r="AU76" s="235"/>
      <c r="AV76" s="235"/>
      <c r="AW76" s="235"/>
      <c r="AX76" s="235"/>
      <c r="AY76" s="235"/>
      <c r="AZ76" s="235"/>
      <c r="BA76" s="235"/>
      <c r="BB76" s="235"/>
      <c r="BC76" s="235"/>
      <c r="BD76" s="235"/>
    </row>
    <row r="77" spans="2:56">
      <c r="B77" s="314">
        <v>76</v>
      </c>
      <c r="C77" s="315" t="str">
        <f t="shared" si="8"/>
        <v/>
      </c>
      <c r="D77" s="316" t="str">
        <f t="shared" si="9"/>
        <v/>
      </c>
      <c r="E77" s="316" t="str">
        <f t="shared" si="10"/>
        <v/>
      </c>
      <c r="F77" s="1030" t="str">
        <f t="shared" si="11"/>
        <v/>
      </c>
      <c r="G77" s="1027"/>
      <c r="H77" s="235"/>
      <c r="I77" s="235"/>
      <c r="J77" s="235"/>
      <c r="K77" s="235"/>
      <c r="L77" s="235"/>
      <c r="M77" s="235"/>
      <c r="N77" s="235"/>
      <c r="O77" s="235"/>
      <c r="P77" s="235"/>
      <c r="Q77" s="235"/>
      <c r="R77" s="235"/>
      <c r="S77" s="235"/>
      <c r="T77" s="235"/>
      <c r="U77" s="235"/>
      <c r="V77" s="235"/>
      <c r="W77" s="235"/>
      <c r="X77" s="235"/>
      <c r="Y77" s="235"/>
      <c r="Z77" s="235"/>
      <c r="AA77" s="235"/>
      <c r="AB77" s="235"/>
      <c r="AC77" s="235"/>
      <c r="AD77" s="235"/>
      <c r="AE77" s="235"/>
      <c r="AF77" s="235"/>
      <c r="AG77" s="235"/>
      <c r="AH77" s="235"/>
      <c r="AI77" s="235"/>
      <c r="AJ77" s="235"/>
      <c r="AK77" s="235"/>
      <c r="AL77" s="235"/>
      <c r="AM77" s="235"/>
      <c r="AN77" s="235"/>
      <c r="AO77" s="235"/>
      <c r="AP77" s="235"/>
      <c r="AQ77" s="235"/>
      <c r="AR77" s="235"/>
      <c r="AS77" s="235"/>
      <c r="AT77" s="235"/>
      <c r="AU77" s="235"/>
      <c r="AV77" s="235"/>
      <c r="AW77" s="235"/>
      <c r="AX77" s="235"/>
      <c r="AY77" s="235"/>
      <c r="AZ77" s="235"/>
      <c r="BA77" s="235"/>
      <c r="BB77" s="235"/>
      <c r="BC77" s="235"/>
      <c r="BD77" s="235"/>
    </row>
    <row r="78" spans="2:56">
      <c r="B78" s="314">
        <v>77</v>
      </c>
      <c r="C78" s="315" t="str">
        <f t="shared" si="8"/>
        <v/>
      </c>
      <c r="D78" s="316" t="str">
        <f t="shared" si="9"/>
        <v/>
      </c>
      <c r="E78" s="316" t="str">
        <f t="shared" si="10"/>
        <v/>
      </c>
      <c r="F78" s="1030" t="str">
        <f t="shared" si="11"/>
        <v/>
      </c>
      <c r="G78" s="1027"/>
      <c r="H78" s="235"/>
      <c r="I78" s="235"/>
      <c r="J78" s="235"/>
      <c r="K78" s="235"/>
      <c r="L78" s="235"/>
      <c r="M78" s="235"/>
      <c r="N78" s="235"/>
      <c r="O78" s="235"/>
      <c r="P78" s="235"/>
      <c r="Q78" s="235"/>
      <c r="R78" s="235"/>
      <c r="S78" s="235"/>
      <c r="T78" s="235"/>
      <c r="U78" s="235"/>
      <c r="V78" s="235"/>
      <c r="W78" s="235"/>
      <c r="X78" s="235"/>
      <c r="Y78" s="235"/>
      <c r="Z78" s="235"/>
      <c r="AA78" s="235"/>
      <c r="AB78" s="235"/>
      <c r="AC78" s="235"/>
      <c r="AD78" s="235"/>
      <c r="AE78" s="235"/>
      <c r="AF78" s="235"/>
      <c r="AG78" s="235"/>
      <c r="AH78" s="235"/>
      <c r="AI78" s="235"/>
      <c r="AJ78" s="235"/>
      <c r="AK78" s="235"/>
      <c r="AL78" s="235"/>
      <c r="AM78" s="235"/>
      <c r="AN78" s="235"/>
      <c r="AO78" s="235"/>
      <c r="AP78" s="235"/>
      <c r="AQ78" s="235"/>
      <c r="AR78" s="235"/>
      <c r="AS78" s="235"/>
      <c r="AT78" s="235"/>
      <c r="AU78" s="235"/>
      <c r="AV78" s="235"/>
      <c r="AW78" s="235"/>
      <c r="AX78" s="235"/>
      <c r="AY78" s="235"/>
      <c r="AZ78" s="235"/>
      <c r="BA78" s="235"/>
      <c r="BB78" s="235"/>
      <c r="BC78" s="235"/>
      <c r="BD78" s="235"/>
    </row>
    <row r="79" spans="2:56">
      <c r="B79" s="314">
        <v>78</v>
      </c>
      <c r="C79" s="315" t="str">
        <f t="shared" si="8"/>
        <v/>
      </c>
      <c r="D79" s="316" t="str">
        <f t="shared" si="9"/>
        <v/>
      </c>
      <c r="E79" s="316" t="str">
        <f t="shared" si="10"/>
        <v/>
      </c>
      <c r="F79" s="1030" t="str">
        <f t="shared" si="11"/>
        <v/>
      </c>
      <c r="G79" s="1027"/>
      <c r="H79" s="235"/>
      <c r="I79" s="235"/>
      <c r="J79" s="235"/>
      <c r="K79" s="235"/>
      <c r="L79" s="235"/>
      <c r="M79" s="235"/>
      <c r="N79" s="235"/>
      <c r="O79" s="235"/>
      <c r="P79" s="235"/>
      <c r="Q79" s="235"/>
      <c r="R79" s="235"/>
      <c r="S79" s="235"/>
      <c r="T79" s="235"/>
      <c r="U79" s="235"/>
      <c r="V79" s="235"/>
      <c r="W79" s="235"/>
      <c r="X79" s="235"/>
      <c r="Y79" s="235"/>
      <c r="Z79" s="235"/>
      <c r="AA79" s="235"/>
      <c r="AB79" s="235"/>
      <c r="AC79" s="235"/>
      <c r="AD79" s="235"/>
      <c r="AE79" s="235"/>
      <c r="AF79" s="235"/>
      <c r="AG79" s="235"/>
      <c r="AH79" s="235"/>
      <c r="AI79" s="235"/>
      <c r="AJ79" s="235"/>
      <c r="AK79" s="235"/>
      <c r="AL79" s="235"/>
      <c r="AM79" s="235"/>
      <c r="AN79" s="235"/>
      <c r="AO79" s="235"/>
      <c r="AP79" s="235"/>
      <c r="AQ79" s="235"/>
      <c r="AR79" s="235"/>
      <c r="AS79" s="235"/>
      <c r="AT79" s="235"/>
      <c r="AU79" s="235"/>
      <c r="AV79" s="235"/>
      <c r="AW79" s="235"/>
      <c r="AX79" s="235"/>
      <c r="AY79" s="235"/>
      <c r="AZ79" s="235"/>
      <c r="BA79" s="235"/>
      <c r="BB79" s="235"/>
      <c r="BC79" s="235"/>
      <c r="BD79" s="235"/>
    </row>
    <row r="80" spans="2:56">
      <c r="B80" s="314">
        <v>79</v>
      </c>
      <c r="C80" s="315" t="str">
        <f t="shared" si="8"/>
        <v/>
      </c>
      <c r="D80" s="316" t="str">
        <f t="shared" si="9"/>
        <v/>
      </c>
      <c r="E80" s="316" t="str">
        <f t="shared" si="10"/>
        <v/>
      </c>
      <c r="F80" s="1030" t="str">
        <f t="shared" si="11"/>
        <v/>
      </c>
      <c r="G80" s="1027"/>
      <c r="H80" s="235"/>
      <c r="I80" s="235"/>
      <c r="J80" s="235"/>
      <c r="K80" s="235"/>
      <c r="L80" s="235"/>
      <c r="M80" s="235"/>
      <c r="N80" s="235"/>
      <c r="O80" s="235"/>
      <c r="P80" s="235"/>
      <c r="Q80" s="235"/>
      <c r="R80" s="235"/>
      <c r="S80" s="235"/>
      <c r="T80" s="235"/>
      <c r="U80" s="235"/>
      <c r="V80" s="235"/>
      <c r="W80" s="235"/>
      <c r="X80" s="235"/>
      <c r="Y80" s="235"/>
      <c r="Z80" s="235"/>
      <c r="AA80" s="235"/>
      <c r="AB80" s="235"/>
      <c r="AC80" s="235"/>
      <c r="AD80" s="235"/>
      <c r="AE80" s="235"/>
      <c r="AF80" s="235"/>
      <c r="AG80" s="235"/>
      <c r="AH80" s="235"/>
      <c r="AI80" s="235"/>
      <c r="AJ80" s="235"/>
      <c r="AK80" s="235"/>
      <c r="AL80" s="235"/>
      <c r="AM80" s="235"/>
      <c r="AN80" s="235"/>
      <c r="AO80" s="235"/>
      <c r="AP80" s="235"/>
      <c r="AQ80" s="235"/>
      <c r="AR80" s="235"/>
      <c r="AS80" s="235"/>
      <c r="AT80" s="235"/>
      <c r="AU80" s="235"/>
      <c r="AV80" s="235"/>
      <c r="AW80" s="235"/>
      <c r="AX80" s="235"/>
      <c r="AY80" s="235"/>
      <c r="AZ80" s="235"/>
      <c r="BA80" s="235"/>
      <c r="BB80" s="235"/>
      <c r="BC80" s="235"/>
      <c r="BD80" s="235"/>
    </row>
    <row r="81" spans="2:56">
      <c r="B81" s="314">
        <v>80</v>
      </c>
      <c r="C81" s="315" t="str">
        <f t="shared" si="8"/>
        <v/>
      </c>
      <c r="D81" s="316" t="str">
        <f t="shared" si="9"/>
        <v/>
      </c>
      <c r="E81" s="316" t="str">
        <f t="shared" si="10"/>
        <v/>
      </c>
      <c r="F81" s="1030" t="str">
        <f t="shared" si="11"/>
        <v/>
      </c>
      <c r="G81" s="1027"/>
      <c r="H81" s="235"/>
      <c r="I81" s="235"/>
      <c r="J81" s="235"/>
      <c r="K81" s="235"/>
      <c r="L81" s="235"/>
      <c r="M81" s="235"/>
      <c r="N81" s="235"/>
      <c r="O81" s="235"/>
      <c r="P81" s="235"/>
      <c r="Q81" s="235"/>
      <c r="R81" s="235"/>
      <c r="S81" s="235"/>
      <c r="T81" s="235"/>
      <c r="U81" s="235"/>
      <c r="V81" s="235"/>
      <c r="W81" s="235"/>
      <c r="X81" s="235"/>
      <c r="Y81" s="235"/>
      <c r="Z81" s="235"/>
      <c r="AA81" s="235"/>
      <c r="AB81" s="235"/>
      <c r="AC81" s="235"/>
      <c r="AD81" s="235"/>
      <c r="AE81" s="235"/>
      <c r="AF81" s="235"/>
      <c r="AG81" s="235"/>
      <c r="AH81" s="235"/>
      <c r="AI81" s="235"/>
      <c r="AJ81" s="235"/>
      <c r="AK81" s="235"/>
      <c r="AL81" s="235"/>
      <c r="AM81" s="235"/>
      <c r="AN81" s="235"/>
      <c r="AO81" s="235"/>
      <c r="AP81" s="235"/>
      <c r="AQ81" s="235"/>
      <c r="AR81" s="235"/>
      <c r="AS81" s="235"/>
      <c r="AT81" s="235"/>
      <c r="AU81" s="235"/>
      <c r="AV81" s="235"/>
      <c r="AW81" s="235"/>
      <c r="AX81" s="235"/>
      <c r="AY81" s="235"/>
      <c r="AZ81" s="235"/>
      <c r="BA81" s="235"/>
      <c r="BB81" s="235"/>
      <c r="BC81" s="235"/>
      <c r="BD81" s="235"/>
    </row>
    <row r="82" spans="2:56">
      <c r="B82" s="314">
        <v>81</v>
      </c>
      <c r="C82" s="315" t="str">
        <f t="shared" si="8"/>
        <v/>
      </c>
      <c r="D82" s="316" t="str">
        <f t="shared" si="9"/>
        <v/>
      </c>
      <c r="E82" s="316" t="str">
        <f t="shared" si="10"/>
        <v/>
      </c>
      <c r="F82" s="1030" t="str">
        <f t="shared" si="11"/>
        <v/>
      </c>
      <c r="G82" s="1027"/>
      <c r="H82" s="235"/>
      <c r="I82" s="235"/>
      <c r="J82" s="235"/>
      <c r="K82" s="235"/>
      <c r="L82" s="235"/>
      <c r="M82" s="235"/>
      <c r="N82" s="235"/>
      <c r="O82" s="235"/>
      <c r="P82" s="235"/>
      <c r="Q82" s="235"/>
      <c r="R82" s="235"/>
      <c r="S82" s="235"/>
      <c r="T82" s="235"/>
      <c r="U82" s="235"/>
      <c r="V82" s="235"/>
      <c r="W82" s="235"/>
      <c r="X82" s="235"/>
      <c r="Y82" s="235"/>
      <c r="Z82" s="235"/>
      <c r="AA82" s="235"/>
      <c r="AB82" s="235"/>
      <c r="AC82" s="235"/>
      <c r="AD82" s="235"/>
      <c r="AE82" s="235"/>
      <c r="AF82" s="235"/>
      <c r="AG82" s="235"/>
      <c r="AH82" s="235"/>
      <c r="AI82" s="235"/>
      <c r="AJ82" s="235"/>
      <c r="AK82" s="235"/>
      <c r="AL82" s="235"/>
      <c r="AM82" s="235"/>
      <c r="AN82" s="235"/>
      <c r="AO82" s="235"/>
      <c r="AP82" s="235"/>
      <c r="AQ82" s="235"/>
      <c r="AR82" s="235"/>
      <c r="AS82" s="235"/>
      <c r="AT82" s="235"/>
      <c r="AU82" s="235"/>
      <c r="AV82" s="235"/>
      <c r="AW82" s="235"/>
      <c r="AX82" s="235"/>
      <c r="AY82" s="235"/>
      <c r="AZ82" s="235"/>
      <c r="BA82" s="235"/>
      <c r="BB82" s="235"/>
      <c r="BC82" s="235"/>
      <c r="BD82" s="235"/>
    </row>
    <row r="83" spans="2:56">
      <c r="B83" s="314">
        <v>82</v>
      </c>
      <c r="C83" s="315" t="str">
        <f t="shared" si="8"/>
        <v/>
      </c>
      <c r="D83" s="316" t="str">
        <f t="shared" si="9"/>
        <v/>
      </c>
      <c r="E83" s="316" t="str">
        <f t="shared" si="10"/>
        <v/>
      </c>
      <c r="F83" s="1030" t="str">
        <f t="shared" si="11"/>
        <v/>
      </c>
      <c r="G83" s="1027"/>
      <c r="H83" s="235"/>
      <c r="I83" s="235"/>
      <c r="J83" s="235"/>
      <c r="K83" s="235"/>
      <c r="L83" s="235"/>
      <c r="M83" s="235"/>
      <c r="N83" s="235"/>
      <c r="O83" s="235"/>
      <c r="P83" s="235"/>
      <c r="Q83" s="235"/>
      <c r="R83" s="235"/>
      <c r="S83" s="235"/>
      <c r="T83" s="235"/>
      <c r="U83" s="235"/>
      <c r="V83" s="235"/>
      <c r="W83" s="235"/>
      <c r="X83" s="235"/>
      <c r="Y83" s="235"/>
      <c r="Z83" s="235"/>
      <c r="AA83" s="235"/>
      <c r="AB83" s="235"/>
      <c r="AC83" s="235"/>
      <c r="AD83" s="235"/>
      <c r="AE83" s="235"/>
      <c r="AF83" s="235"/>
      <c r="AG83" s="235"/>
      <c r="AH83" s="235"/>
      <c r="AI83" s="235"/>
      <c r="AJ83" s="235"/>
      <c r="AK83" s="235"/>
      <c r="AL83" s="235"/>
      <c r="AM83" s="235"/>
      <c r="AN83" s="235"/>
      <c r="AO83" s="235"/>
      <c r="AP83" s="235"/>
      <c r="AQ83" s="235"/>
      <c r="AR83" s="235"/>
      <c r="AS83" s="235"/>
      <c r="AT83" s="235"/>
      <c r="AU83" s="235"/>
      <c r="AV83" s="235"/>
      <c r="AW83" s="235"/>
      <c r="AX83" s="235"/>
      <c r="AY83" s="235"/>
      <c r="AZ83" s="235"/>
      <c r="BA83" s="235"/>
      <c r="BB83" s="235"/>
      <c r="BC83" s="235"/>
      <c r="BD83" s="235"/>
    </row>
    <row r="84" spans="2:56">
      <c r="B84" s="314">
        <v>83</v>
      </c>
      <c r="C84" s="315" t="str">
        <f t="shared" si="8"/>
        <v/>
      </c>
      <c r="D84" s="316" t="str">
        <f t="shared" si="9"/>
        <v/>
      </c>
      <c r="E84" s="316" t="str">
        <f t="shared" si="10"/>
        <v/>
      </c>
      <c r="F84" s="1030" t="str">
        <f t="shared" si="11"/>
        <v/>
      </c>
      <c r="G84" s="1027"/>
      <c r="H84" s="235"/>
      <c r="I84" s="235"/>
      <c r="J84" s="235"/>
      <c r="K84" s="235"/>
      <c r="L84" s="235"/>
      <c r="M84" s="235"/>
      <c r="N84" s="235"/>
      <c r="O84" s="235"/>
      <c r="P84" s="235"/>
      <c r="Q84" s="235"/>
      <c r="R84" s="235"/>
      <c r="S84" s="235"/>
      <c r="T84" s="235"/>
      <c r="U84" s="235"/>
      <c r="V84" s="235"/>
      <c r="W84" s="235"/>
      <c r="X84" s="235"/>
      <c r="Y84" s="235"/>
      <c r="Z84" s="235"/>
      <c r="AA84" s="235"/>
      <c r="AB84" s="235"/>
      <c r="AC84" s="235"/>
      <c r="AD84" s="235"/>
      <c r="AE84" s="235"/>
      <c r="AF84" s="235"/>
      <c r="AG84" s="235"/>
      <c r="AH84" s="235"/>
      <c r="AI84" s="235"/>
      <c r="AJ84" s="235"/>
      <c r="AK84" s="235"/>
      <c r="AL84" s="235"/>
      <c r="AM84" s="235"/>
      <c r="AN84" s="235"/>
      <c r="AO84" s="235"/>
      <c r="AP84" s="235"/>
      <c r="AQ84" s="235"/>
      <c r="AR84" s="235"/>
      <c r="AS84" s="235"/>
      <c r="AT84" s="235"/>
      <c r="AU84" s="235"/>
      <c r="AV84" s="235"/>
      <c r="AW84" s="235"/>
      <c r="AX84" s="235"/>
      <c r="AY84" s="235"/>
      <c r="AZ84" s="235"/>
      <c r="BA84" s="235"/>
      <c r="BB84" s="235"/>
      <c r="BC84" s="235"/>
      <c r="BD84" s="235"/>
    </row>
    <row r="85" spans="2:56">
      <c r="B85" s="314">
        <v>84</v>
      </c>
      <c r="C85" s="315" t="str">
        <f t="shared" si="8"/>
        <v/>
      </c>
      <c r="D85" s="316" t="str">
        <f t="shared" si="9"/>
        <v/>
      </c>
      <c r="E85" s="316" t="str">
        <f t="shared" si="10"/>
        <v/>
      </c>
      <c r="F85" s="1030" t="str">
        <f t="shared" si="11"/>
        <v/>
      </c>
      <c r="G85" s="1027"/>
      <c r="H85" s="235"/>
      <c r="I85" s="235"/>
      <c r="J85" s="235"/>
      <c r="K85" s="235"/>
      <c r="L85" s="235"/>
      <c r="M85" s="235"/>
      <c r="N85" s="235"/>
      <c r="O85" s="235"/>
      <c r="P85" s="235"/>
      <c r="Q85" s="235"/>
      <c r="R85" s="235"/>
      <c r="S85" s="235"/>
      <c r="T85" s="235"/>
      <c r="U85" s="235"/>
      <c r="V85" s="235"/>
      <c r="W85" s="235"/>
      <c r="X85" s="235"/>
      <c r="Y85" s="235"/>
      <c r="Z85" s="235"/>
      <c r="AA85" s="235"/>
      <c r="AB85" s="235"/>
      <c r="AC85" s="235"/>
      <c r="AD85" s="235"/>
      <c r="AE85" s="235"/>
      <c r="AF85" s="235"/>
      <c r="AG85" s="235"/>
      <c r="AH85" s="235"/>
      <c r="AI85" s="235"/>
      <c r="AJ85" s="235"/>
      <c r="AK85" s="235"/>
      <c r="AL85" s="235"/>
      <c r="AM85" s="235"/>
      <c r="AN85" s="235"/>
      <c r="AO85" s="235"/>
      <c r="AP85" s="235"/>
      <c r="AQ85" s="235"/>
      <c r="AR85" s="235"/>
      <c r="AS85" s="235"/>
      <c r="AT85" s="235"/>
      <c r="AU85" s="235"/>
      <c r="AV85" s="235"/>
      <c r="AW85" s="235"/>
      <c r="AX85" s="235"/>
      <c r="AY85" s="235"/>
      <c r="AZ85" s="235"/>
      <c r="BA85" s="235"/>
      <c r="BB85" s="235"/>
      <c r="BC85" s="235"/>
      <c r="BD85" s="235"/>
    </row>
    <row r="86" spans="2:56">
      <c r="B86" s="314">
        <v>85</v>
      </c>
      <c r="C86" s="315" t="str">
        <f t="shared" si="8"/>
        <v/>
      </c>
      <c r="D86" s="316" t="str">
        <f t="shared" si="9"/>
        <v/>
      </c>
      <c r="E86" s="316" t="str">
        <f t="shared" si="10"/>
        <v/>
      </c>
      <c r="F86" s="1030" t="str">
        <f t="shared" si="11"/>
        <v/>
      </c>
      <c r="G86" s="1027"/>
      <c r="H86" s="235"/>
      <c r="I86" s="235"/>
      <c r="J86" s="235"/>
      <c r="K86" s="235"/>
      <c r="L86" s="235"/>
      <c r="M86" s="235"/>
      <c r="N86" s="235"/>
      <c r="O86" s="235"/>
      <c r="P86" s="235"/>
      <c r="Q86" s="235"/>
      <c r="R86" s="235"/>
      <c r="S86" s="235"/>
      <c r="T86" s="235"/>
      <c r="U86" s="235"/>
      <c r="V86" s="235"/>
      <c r="W86" s="235"/>
      <c r="X86" s="235"/>
      <c r="Y86" s="235"/>
      <c r="Z86" s="235"/>
      <c r="AA86" s="235"/>
      <c r="AB86" s="235"/>
      <c r="AC86" s="235"/>
      <c r="AD86" s="235"/>
      <c r="AE86" s="235"/>
      <c r="AF86" s="235"/>
      <c r="AG86" s="235"/>
      <c r="AH86" s="235"/>
      <c r="AI86" s="235"/>
      <c r="AJ86" s="235"/>
      <c r="AK86" s="235"/>
      <c r="AL86" s="235"/>
      <c r="AM86" s="235"/>
      <c r="AN86" s="235"/>
      <c r="AO86" s="235"/>
      <c r="AP86" s="235"/>
      <c r="AQ86" s="235"/>
      <c r="AR86" s="235"/>
      <c r="AS86" s="235"/>
      <c r="AT86" s="235"/>
      <c r="AU86" s="235"/>
      <c r="AV86" s="235"/>
      <c r="AW86" s="235"/>
      <c r="AX86" s="235"/>
      <c r="AY86" s="235"/>
      <c r="AZ86" s="235"/>
      <c r="BA86" s="235"/>
      <c r="BB86" s="235"/>
      <c r="BC86" s="235"/>
      <c r="BD86" s="235"/>
    </row>
    <row r="87" spans="2:56">
      <c r="B87" s="314">
        <v>86</v>
      </c>
      <c r="C87" s="315" t="str">
        <f t="shared" si="8"/>
        <v/>
      </c>
      <c r="D87" s="316" t="str">
        <f t="shared" si="9"/>
        <v/>
      </c>
      <c r="E87" s="316" t="str">
        <f t="shared" si="10"/>
        <v/>
      </c>
      <c r="F87" s="1030" t="str">
        <f t="shared" si="11"/>
        <v/>
      </c>
      <c r="G87" s="1027"/>
      <c r="H87" s="235"/>
      <c r="I87" s="235"/>
      <c r="J87" s="235"/>
      <c r="K87" s="235"/>
      <c r="L87" s="235"/>
      <c r="M87" s="235"/>
      <c r="N87" s="235"/>
      <c r="O87" s="235"/>
      <c r="P87" s="235"/>
      <c r="Q87" s="235"/>
      <c r="R87" s="235"/>
      <c r="S87" s="235"/>
      <c r="T87" s="235"/>
      <c r="U87" s="235"/>
      <c r="V87" s="235"/>
      <c r="W87" s="235"/>
      <c r="X87" s="235"/>
      <c r="Y87" s="235"/>
      <c r="Z87" s="235"/>
      <c r="AA87" s="235"/>
      <c r="AB87" s="235"/>
      <c r="AC87" s="235"/>
      <c r="AD87" s="235"/>
      <c r="AE87" s="235"/>
      <c r="AF87" s="235"/>
      <c r="AG87" s="235"/>
      <c r="AH87" s="235"/>
      <c r="AI87" s="235"/>
      <c r="AJ87" s="235"/>
      <c r="AK87" s="235"/>
      <c r="AL87" s="235"/>
      <c r="AM87" s="235"/>
      <c r="AN87" s="235"/>
      <c r="AO87" s="235"/>
      <c r="AP87" s="235"/>
      <c r="AQ87" s="235"/>
      <c r="AR87" s="235"/>
      <c r="AS87" s="235"/>
      <c r="AT87" s="235"/>
      <c r="AU87" s="235"/>
      <c r="AV87" s="235"/>
      <c r="AW87" s="235"/>
      <c r="AX87" s="235"/>
      <c r="AY87" s="235"/>
      <c r="AZ87" s="235"/>
      <c r="BA87" s="235"/>
      <c r="BB87" s="235"/>
      <c r="BC87" s="235"/>
      <c r="BD87" s="235"/>
    </row>
    <row r="88" spans="2:56">
      <c r="B88" s="314">
        <v>87</v>
      </c>
      <c r="C88" s="315" t="str">
        <f t="shared" si="8"/>
        <v/>
      </c>
      <c r="D88" s="316" t="str">
        <f t="shared" si="9"/>
        <v/>
      </c>
      <c r="E88" s="316" t="str">
        <f t="shared" si="10"/>
        <v/>
      </c>
      <c r="F88" s="1030" t="str">
        <f t="shared" si="11"/>
        <v/>
      </c>
      <c r="G88" s="1027"/>
      <c r="H88" s="235"/>
      <c r="I88" s="235"/>
      <c r="J88" s="235"/>
      <c r="K88" s="235"/>
      <c r="L88" s="235"/>
      <c r="M88" s="235"/>
      <c r="N88" s="235"/>
      <c r="O88" s="235"/>
      <c r="P88" s="235"/>
      <c r="Q88" s="235"/>
      <c r="R88" s="235"/>
      <c r="S88" s="235"/>
      <c r="T88" s="235"/>
      <c r="U88" s="235"/>
      <c r="V88" s="235"/>
      <c r="W88" s="235"/>
      <c r="X88" s="235"/>
      <c r="Y88" s="235"/>
      <c r="Z88" s="235"/>
      <c r="AA88" s="235"/>
      <c r="AB88" s="235"/>
      <c r="AC88" s="235"/>
      <c r="AD88" s="235"/>
      <c r="AE88" s="235"/>
      <c r="AF88" s="235"/>
      <c r="AG88" s="235"/>
      <c r="AH88" s="235"/>
      <c r="AI88" s="235"/>
      <c r="AJ88" s="235"/>
      <c r="AK88" s="235"/>
      <c r="AL88" s="235"/>
      <c r="AM88" s="235"/>
      <c r="AN88" s="235"/>
      <c r="AO88" s="235"/>
      <c r="AP88" s="235"/>
      <c r="AQ88" s="235"/>
      <c r="AR88" s="235"/>
      <c r="AS88" s="235"/>
      <c r="AT88" s="235"/>
      <c r="AU88" s="235"/>
      <c r="AV88" s="235"/>
      <c r="AW88" s="235"/>
      <c r="AX88" s="235"/>
      <c r="AY88" s="235"/>
      <c r="AZ88" s="235"/>
      <c r="BA88" s="235"/>
      <c r="BB88" s="235"/>
      <c r="BC88" s="235"/>
      <c r="BD88" s="235"/>
    </row>
    <row r="89" spans="2:56">
      <c r="B89" s="314">
        <v>88</v>
      </c>
      <c r="C89" s="315" t="str">
        <f t="shared" si="8"/>
        <v/>
      </c>
      <c r="D89" s="316" t="str">
        <f t="shared" si="9"/>
        <v/>
      </c>
      <c r="E89" s="316" t="str">
        <f t="shared" si="10"/>
        <v/>
      </c>
      <c r="F89" s="1030" t="str">
        <f t="shared" si="11"/>
        <v/>
      </c>
      <c r="G89" s="1027"/>
      <c r="H89" s="235"/>
      <c r="I89" s="235"/>
      <c r="J89" s="235"/>
      <c r="K89" s="235"/>
      <c r="L89" s="235"/>
      <c r="M89" s="235"/>
      <c r="N89" s="235"/>
      <c r="O89" s="235"/>
      <c r="P89" s="235"/>
      <c r="Q89" s="235"/>
      <c r="R89" s="235"/>
      <c r="S89" s="235"/>
      <c r="T89" s="235"/>
      <c r="U89" s="235"/>
      <c r="V89" s="235"/>
      <c r="W89" s="235"/>
      <c r="X89" s="235"/>
      <c r="Y89" s="235"/>
      <c r="Z89" s="235"/>
      <c r="AA89" s="235"/>
      <c r="AB89" s="235"/>
      <c r="AC89" s="235"/>
      <c r="AD89" s="235"/>
      <c r="AE89" s="235"/>
      <c r="AF89" s="235"/>
      <c r="AG89" s="235"/>
      <c r="AH89" s="235"/>
      <c r="AI89" s="235"/>
      <c r="AJ89" s="235"/>
      <c r="AK89" s="235"/>
      <c r="AL89" s="235"/>
      <c r="AM89" s="235"/>
      <c r="AN89" s="235"/>
      <c r="AO89" s="235"/>
      <c r="AP89" s="235"/>
      <c r="AQ89" s="235"/>
      <c r="AR89" s="235"/>
      <c r="AS89" s="235"/>
      <c r="AT89" s="235"/>
      <c r="AU89" s="235"/>
      <c r="AV89" s="235"/>
      <c r="AW89" s="235"/>
      <c r="AX89" s="235"/>
      <c r="AY89" s="235"/>
      <c r="AZ89" s="235"/>
      <c r="BA89" s="235"/>
      <c r="BB89" s="235"/>
      <c r="BC89" s="235"/>
      <c r="BD89" s="235"/>
    </row>
    <row r="90" spans="2:56">
      <c r="B90" s="314">
        <v>89</v>
      </c>
      <c r="C90" s="315" t="str">
        <f t="shared" si="8"/>
        <v/>
      </c>
      <c r="D90" s="316" t="str">
        <f t="shared" si="9"/>
        <v/>
      </c>
      <c r="E90" s="316" t="str">
        <f t="shared" si="10"/>
        <v/>
      </c>
      <c r="F90" s="1030" t="str">
        <f t="shared" si="11"/>
        <v/>
      </c>
      <c r="G90" s="1027"/>
      <c r="H90" s="235"/>
      <c r="I90" s="235"/>
      <c r="J90" s="235"/>
      <c r="K90" s="235"/>
      <c r="L90" s="235"/>
      <c r="M90" s="235"/>
      <c r="N90" s="235"/>
      <c r="O90" s="235"/>
      <c r="P90" s="235"/>
      <c r="Q90" s="235"/>
      <c r="R90" s="235"/>
      <c r="S90" s="235"/>
      <c r="T90" s="235"/>
      <c r="U90" s="235"/>
      <c r="V90" s="235"/>
      <c r="W90" s="235"/>
      <c r="X90" s="235"/>
      <c r="Y90" s="235"/>
      <c r="Z90" s="235"/>
      <c r="AA90" s="235"/>
      <c r="AB90" s="235"/>
      <c r="AC90" s="235"/>
      <c r="AD90" s="235"/>
      <c r="AE90" s="235"/>
      <c r="AF90" s="235"/>
      <c r="AG90" s="235"/>
      <c r="AH90" s="235"/>
      <c r="AI90" s="235"/>
      <c r="AJ90" s="235"/>
      <c r="AK90" s="235"/>
      <c r="AL90" s="235"/>
      <c r="AM90" s="235"/>
      <c r="AN90" s="235"/>
      <c r="AO90" s="235"/>
      <c r="AP90" s="235"/>
      <c r="AQ90" s="235"/>
      <c r="AR90" s="235"/>
      <c r="AS90" s="235"/>
      <c r="AT90" s="235"/>
      <c r="AU90" s="235"/>
      <c r="AV90" s="235"/>
      <c r="AW90" s="235"/>
      <c r="AX90" s="235"/>
      <c r="AY90" s="235"/>
      <c r="AZ90" s="235"/>
      <c r="BA90" s="235"/>
      <c r="BB90" s="235"/>
      <c r="BC90" s="235"/>
      <c r="BD90" s="235"/>
    </row>
    <row r="91" spans="2:56">
      <c r="B91" s="314">
        <v>90</v>
      </c>
      <c r="C91" s="315" t="str">
        <f t="shared" si="8"/>
        <v/>
      </c>
      <c r="D91" s="316" t="str">
        <f t="shared" si="9"/>
        <v/>
      </c>
      <c r="E91" s="316" t="str">
        <f t="shared" si="10"/>
        <v/>
      </c>
      <c r="F91" s="1030" t="str">
        <f t="shared" si="11"/>
        <v/>
      </c>
      <c r="G91" s="1027"/>
      <c r="H91" s="235"/>
      <c r="I91" s="235"/>
      <c r="J91" s="235"/>
      <c r="K91" s="235"/>
      <c r="L91" s="235"/>
      <c r="M91" s="235"/>
      <c r="N91" s="235"/>
      <c r="O91" s="235"/>
      <c r="P91" s="235"/>
      <c r="Q91" s="235"/>
      <c r="R91" s="235"/>
      <c r="S91" s="235"/>
      <c r="T91" s="235"/>
      <c r="U91" s="235"/>
      <c r="V91" s="235"/>
      <c r="W91" s="235"/>
      <c r="X91" s="235"/>
      <c r="Y91" s="235"/>
      <c r="Z91" s="235"/>
      <c r="AA91" s="235"/>
      <c r="AB91" s="235"/>
      <c r="AC91" s="235"/>
      <c r="AD91" s="235"/>
      <c r="AE91" s="235"/>
      <c r="AF91" s="235"/>
      <c r="AG91" s="235"/>
      <c r="AH91" s="235"/>
      <c r="AI91" s="235"/>
      <c r="AJ91" s="235"/>
      <c r="AK91" s="235"/>
      <c r="AL91" s="235"/>
      <c r="AM91" s="235"/>
      <c r="AN91" s="235"/>
      <c r="AO91" s="235"/>
      <c r="AP91" s="235"/>
      <c r="AQ91" s="235"/>
      <c r="AR91" s="235"/>
      <c r="AS91" s="235"/>
      <c r="AT91" s="235"/>
      <c r="AU91" s="235"/>
      <c r="AV91" s="235"/>
      <c r="AW91" s="235"/>
      <c r="AX91" s="235"/>
      <c r="AY91" s="235"/>
      <c r="AZ91" s="235"/>
      <c r="BA91" s="235"/>
      <c r="BB91" s="235"/>
      <c r="BC91" s="235"/>
      <c r="BD91" s="235"/>
    </row>
    <row r="92" spans="2:56">
      <c r="B92" s="314">
        <v>91</v>
      </c>
      <c r="C92" s="315" t="str">
        <f t="shared" si="8"/>
        <v/>
      </c>
      <c r="D92" s="316" t="str">
        <f t="shared" si="9"/>
        <v/>
      </c>
      <c r="E92" s="316" t="str">
        <f t="shared" si="10"/>
        <v/>
      </c>
      <c r="F92" s="1030" t="str">
        <f t="shared" si="11"/>
        <v/>
      </c>
      <c r="G92" s="1027"/>
      <c r="H92" s="235"/>
      <c r="I92" s="235"/>
      <c r="J92" s="235"/>
      <c r="K92" s="235"/>
      <c r="L92" s="235"/>
      <c r="M92" s="235"/>
      <c r="N92" s="235"/>
      <c r="O92" s="235"/>
      <c r="P92" s="235"/>
      <c r="Q92" s="235"/>
      <c r="R92" s="235"/>
      <c r="S92" s="235"/>
      <c r="T92" s="235"/>
      <c r="U92" s="235"/>
      <c r="V92" s="235"/>
      <c r="W92" s="235"/>
      <c r="X92" s="235"/>
      <c r="Y92" s="235"/>
      <c r="Z92" s="235"/>
      <c r="AA92" s="235"/>
      <c r="AB92" s="235"/>
      <c r="AC92" s="235"/>
      <c r="AD92" s="235"/>
      <c r="AE92" s="235"/>
      <c r="AF92" s="235"/>
      <c r="AG92" s="235"/>
      <c r="AH92" s="235"/>
      <c r="AI92" s="235"/>
      <c r="AJ92" s="235"/>
      <c r="AK92" s="235"/>
      <c r="AL92" s="235"/>
      <c r="AM92" s="235"/>
      <c r="AN92" s="235"/>
      <c r="AO92" s="235"/>
      <c r="AP92" s="235"/>
      <c r="AQ92" s="235"/>
      <c r="AR92" s="235"/>
      <c r="AS92" s="235"/>
      <c r="AT92" s="235"/>
      <c r="AU92" s="235"/>
      <c r="AV92" s="235"/>
      <c r="AW92" s="235"/>
      <c r="AX92" s="235"/>
      <c r="AY92" s="235"/>
      <c r="AZ92" s="235"/>
      <c r="BA92" s="235"/>
      <c r="BB92" s="235"/>
      <c r="BC92" s="235"/>
      <c r="BD92" s="235"/>
    </row>
    <row r="93" spans="2:56">
      <c r="B93" s="314">
        <v>92</v>
      </c>
      <c r="C93" s="315" t="str">
        <f t="shared" si="8"/>
        <v/>
      </c>
      <c r="D93" s="316" t="str">
        <f t="shared" si="9"/>
        <v/>
      </c>
      <c r="E93" s="316" t="str">
        <f t="shared" si="10"/>
        <v/>
      </c>
      <c r="F93" s="1030" t="str">
        <f t="shared" si="11"/>
        <v/>
      </c>
      <c r="G93" s="1027"/>
      <c r="H93" s="235"/>
      <c r="I93" s="235"/>
      <c r="J93" s="235"/>
      <c r="K93" s="235"/>
      <c r="L93" s="235"/>
      <c r="M93" s="235"/>
      <c r="N93" s="235"/>
      <c r="O93" s="235"/>
      <c r="P93" s="235"/>
      <c r="Q93" s="235"/>
      <c r="R93" s="235"/>
      <c r="S93" s="235"/>
      <c r="T93" s="235"/>
      <c r="U93" s="235"/>
      <c r="V93" s="235"/>
      <c r="W93" s="235"/>
      <c r="X93" s="235"/>
      <c r="Y93" s="235"/>
      <c r="Z93" s="235"/>
      <c r="AA93" s="235"/>
      <c r="AB93" s="235"/>
      <c r="AC93" s="235"/>
      <c r="AD93" s="235"/>
      <c r="AE93" s="235"/>
      <c r="AF93" s="235"/>
      <c r="AG93" s="235"/>
      <c r="AH93" s="235"/>
      <c r="AI93" s="235"/>
      <c r="AJ93" s="235"/>
      <c r="AK93" s="235"/>
      <c r="AL93" s="235"/>
      <c r="AM93" s="235"/>
      <c r="AN93" s="235"/>
      <c r="AO93" s="235"/>
      <c r="AP93" s="235"/>
      <c r="AQ93" s="235"/>
      <c r="AR93" s="235"/>
      <c r="AS93" s="235"/>
      <c r="AT93" s="235"/>
      <c r="AU93" s="235"/>
      <c r="AV93" s="235"/>
      <c r="AW93" s="235"/>
      <c r="AX93" s="235"/>
      <c r="AY93" s="235"/>
      <c r="AZ93" s="235"/>
      <c r="BA93" s="235"/>
      <c r="BB93" s="235"/>
      <c r="BC93" s="235"/>
      <c r="BD93" s="235"/>
    </row>
    <row r="94" spans="2:56">
      <c r="B94" s="314">
        <v>93</v>
      </c>
      <c r="C94" s="315" t="str">
        <f t="shared" si="8"/>
        <v/>
      </c>
      <c r="D94" s="316" t="str">
        <f t="shared" si="9"/>
        <v/>
      </c>
      <c r="E94" s="316" t="str">
        <f t="shared" si="10"/>
        <v/>
      </c>
      <c r="F94" s="1030" t="str">
        <f t="shared" si="11"/>
        <v/>
      </c>
      <c r="G94" s="1027"/>
      <c r="H94" s="235"/>
      <c r="I94" s="235"/>
      <c r="J94" s="235"/>
      <c r="K94" s="235"/>
      <c r="L94" s="235"/>
      <c r="M94" s="235"/>
      <c r="N94" s="235"/>
      <c r="O94" s="235"/>
      <c r="P94" s="235"/>
      <c r="Q94" s="235"/>
      <c r="R94" s="235"/>
      <c r="S94" s="235"/>
      <c r="T94" s="235"/>
      <c r="U94" s="235"/>
      <c r="V94" s="235"/>
      <c r="W94" s="235"/>
      <c r="X94" s="235"/>
      <c r="Y94" s="235"/>
      <c r="Z94" s="235"/>
      <c r="AA94" s="235"/>
      <c r="AB94" s="235"/>
      <c r="AC94" s="235"/>
      <c r="AD94" s="235"/>
      <c r="AE94" s="235"/>
      <c r="AF94" s="235"/>
      <c r="AG94" s="235"/>
      <c r="AH94" s="235"/>
      <c r="AI94" s="235"/>
      <c r="AJ94" s="235"/>
      <c r="AK94" s="235"/>
      <c r="AL94" s="235"/>
      <c r="AM94" s="235"/>
      <c r="AN94" s="235"/>
      <c r="AO94" s="235"/>
      <c r="AP94" s="235"/>
      <c r="AQ94" s="235"/>
      <c r="AR94" s="235"/>
      <c r="AS94" s="235"/>
      <c r="AT94" s="235"/>
      <c r="AU94" s="235"/>
      <c r="AV94" s="235"/>
      <c r="AW94" s="235"/>
      <c r="AX94" s="235"/>
      <c r="AY94" s="235"/>
      <c r="AZ94" s="235"/>
      <c r="BA94" s="235"/>
      <c r="BB94" s="235"/>
      <c r="BC94" s="235"/>
      <c r="BD94" s="235"/>
    </row>
    <row r="95" spans="2:56">
      <c r="B95" s="314">
        <v>94</v>
      </c>
      <c r="C95" s="315" t="str">
        <f t="shared" si="8"/>
        <v/>
      </c>
      <c r="D95" s="316" t="str">
        <f t="shared" si="9"/>
        <v/>
      </c>
      <c r="E95" s="316" t="str">
        <f t="shared" si="10"/>
        <v/>
      </c>
      <c r="F95" s="1030" t="str">
        <f t="shared" si="11"/>
        <v/>
      </c>
      <c r="G95" s="1027"/>
      <c r="H95" s="235"/>
      <c r="I95" s="235"/>
      <c r="J95" s="235"/>
      <c r="K95" s="235"/>
      <c r="L95" s="235"/>
      <c r="M95" s="235"/>
      <c r="N95" s="235"/>
      <c r="O95" s="235"/>
      <c r="P95" s="235"/>
      <c r="Q95" s="235"/>
      <c r="R95" s="235"/>
      <c r="S95" s="235"/>
      <c r="T95" s="235"/>
      <c r="U95" s="235"/>
      <c r="V95" s="235"/>
      <c r="W95" s="235"/>
      <c r="X95" s="235"/>
      <c r="Y95" s="235"/>
      <c r="Z95" s="235"/>
      <c r="AA95" s="235"/>
      <c r="AB95" s="235"/>
      <c r="AC95" s="235"/>
      <c r="AD95" s="235"/>
      <c r="AE95" s="235"/>
      <c r="AF95" s="235"/>
      <c r="AG95" s="235"/>
      <c r="AH95" s="235"/>
      <c r="AI95" s="235"/>
      <c r="AJ95" s="235"/>
      <c r="AK95" s="235"/>
      <c r="AL95" s="235"/>
      <c r="AM95" s="235"/>
      <c r="AN95" s="235"/>
      <c r="AO95" s="235"/>
      <c r="AP95" s="235"/>
      <c r="AQ95" s="235"/>
      <c r="AR95" s="235"/>
      <c r="AS95" s="235"/>
      <c r="AT95" s="235"/>
      <c r="AU95" s="235"/>
      <c r="AV95" s="235"/>
      <c r="AW95" s="235"/>
      <c r="AX95" s="235"/>
      <c r="AY95" s="235"/>
      <c r="AZ95" s="235"/>
      <c r="BA95" s="235"/>
      <c r="BB95" s="235"/>
      <c r="BC95" s="235"/>
      <c r="BD95" s="235"/>
    </row>
    <row r="96" spans="2:56">
      <c r="B96" s="314">
        <v>95</v>
      </c>
      <c r="C96" s="315" t="str">
        <f t="shared" si="8"/>
        <v/>
      </c>
      <c r="D96" s="316" t="str">
        <f t="shared" si="9"/>
        <v/>
      </c>
      <c r="E96" s="316" t="str">
        <f t="shared" si="10"/>
        <v/>
      </c>
      <c r="F96" s="1030" t="str">
        <f t="shared" si="11"/>
        <v/>
      </c>
      <c r="G96" s="1027"/>
      <c r="H96" s="235"/>
      <c r="I96" s="235"/>
      <c r="J96" s="235"/>
      <c r="K96" s="235"/>
      <c r="L96" s="235"/>
      <c r="M96" s="235"/>
      <c r="N96" s="235"/>
      <c r="O96" s="235"/>
      <c r="P96" s="235"/>
      <c r="Q96" s="235"/>
      <c r="R96" s="235"/>
      <c r="S96" s="235"/>
      <c r="T96" s="235"/>
      <c r="U96" s="235"/>
      <c r="V96" s="235"/>
      <c r="W96" s="235"/>
      <c r="X96" s="235"/>
      <c r="Y96" s="235"/>
      <c r="Z96" s="235"/>
      <c r="AA96" s="235"/>
      <c r="AB96" s="235"/>
      <c r="AC96" s="235"/>
      <c r="AD96" s="235"/>
      <c r="AE96" s="235"/>
      <c r="AF96" s="235"/>
      <c r="AG96" s="235"/>
      <c r="AH96" s="235"/>
      <c r="AI96" s="235"/>
      <c r="AJ96" s="235"/>
      <c r="AK96" s="235"/>
      <c r="AL96" s="235"/>
      <c r="AM96" s="235"/>
      <c r="AN96" s="235"/>
      <c r="AO96" s="235"/>
      <c r="AP96" s="235"/>
      <c r="AQ96" s="235"/>
      <c r="AR96" s="235"/>
      <c r="AS96" s="235"/>
      <c r="AT96" s="235"/>
      <c r="AU96" s="235"/>
      <c r="AV96" s="235"/>
      <c r="AW96" s="235"/>
      <c r="AX96" s="235"/>
      <c r="AY96" s="235"/>
      <c r="AZ96" s="235"/>
      <c r="BA96" s="235"/>
      <c r="BB96" s="235"/>
      <c r="BC96" s="235"/>
      <c r="BD96" s="235"/>
    </row>
    <row r="97" spans="2:56">
      <c r="B97" s="314">
        <v>96</v>
      </c>
      <c r="C97" s="315" t="str">
        <f t="shared" si="8"/>
        <v/>
      </c>
      <c r="D97" s="316" t="str">
        <f t="shared" si="9"/>
        <v/>
      </c>
      <c r="E97" s="316" t="str">
        <f t="shared" si="10"/>
        <v/>
      </c>
      <c r="F97" s="1030" t="str">
        <f t="shared" si="11"/>
        <v/>
      </c>
      <c r="G97" s="1027"/>
      <c r="H97" s="235"/>
      <c r="I97" s="235"/>
      <c r="J97" s="235"/>
      <c r="K97" s="235"/>
      <c r="L97" s="235"/>
      <c r="M97" s="235"/>
      <c r="N97" s="235"/>
      <c r="O97" s="235"/>
      <c r="P97" s="235"/>
      <c r="Q97" s="235"/>
      <c r="R97" s="235"/>
      <c r="S97" s="235"/>
      <c r="T97" s="235"/>
      <c r="U97" s="235"/>
      <c r="V97" s="235"/>
      <c r="W97" s="235"/>
      <c r="X97" s="235"/>
      <c r="Y97" s="235"/>
      <c r="Z97" s="235"/>
      <c r="AA97" s="235"/>
      <c r="AB97" s="235"/>
      <c r="AC97" s="235"/>
      <c r="AD97" s="235"/>
      <c r="AE97" s="235"/>
      <c r="AF97" s="235"/>
      <c r="AG97" s="235"/>
      <c r="AH97" s="235"/>
      <c r="AI97" s="235"/>
      <c r="AJ97" s="235"/>
      <c r="AK97" s="235"/>
      <c r="AL97" s="235"/>
      <c r="AM97" s="235"/>
      <c r="AN97" s="235"/>
      <c r="AO97" s="235"/>
      <c r="AP97" s="235"/>
      <c r="AQ97" s="235"/>
      <c r="AR97" s="235"/>
      <c r="AS97" s="235"/>
      <c r="AT97" s="235"/>
      <c r="AU97" s="235"/>
      <c r="AV97" s="235"/>
      <c r="AW97" s="235"/>
      <c r="AX97" s="235"/>
      <c r="AY97" s="235"/>
      <c r="AZ97" s="235"/>
      <c r="BA97" s="235"/>
      <c r="BB97" s="235"/>
      <c r="BC97" s="235"/>
      <c r="BD97" s="235"/>
    </row>
    <row r="98" spans="2:56">
      <c r="B98" s="314">
        <v>97</v>
      </c>
      <c r="C98" s="315" t="str">
        <f t="shared" si="8"/>
        <v/>
      </c>
      <c r="D98" s="316" t="str">
        <f t="shared" si="9"/>
        <v/>
      </c>
      <c r="E98" s="316" t="str">
        <f t="shared" ref="E98:E100" si="12">IF(F98="", "", MAX(G98:IV98)-MIN(G98:IV98))</f>
        <v/>
      </c>
      <c r="F98" s="1030" t="str">
        <f t="shared" ref="F98:F100" si="13">IFERROR(STDEV(G98:IV98), "")</f>
        <v/>
      </c>
      <c r="G98" s="1027"/>
      <c r="H98" s="235"/>
      <c r="I98" s="235"/>
      <c r="J98" s="235"/>
      <c r="K98" s="235"/>
      <c r="L98" s="235"/>
      <c r="M98" s="235"/>
      <c r="N98" s="235"/>
      <c r="O98" s="235"/>
      <c r="P98" s="235"/>
      <c r="Q98" s="235"/>
      <c r="R98" s="235"/>
      <c r="S98" s="235"/>
      <c r="T98" s="235"/>
      <c r="U98" s="235"/>
      <c r="V98" s="235"/>
      <c r="W98" s="235"/>
      <c r="X98" s="235"/>
      <c r="Y98" s="235"/>
      <c r="Z98" s="235"/>
      <c r="AA98" s="235"/>
      <c r="AB98" s="235"/>
      <c r="AC98" s="235"/>
      <c r="AD98" s="235"/>
      <c r="AE98" s="235"/>
      <c r="AF98" s="235"/>
      <c r="AG98" s="235"/>
      <c r="AH98" s="235"/>
      <c r="AI98" s="235"/>
      <c r="AJ98" s="235"/>
      <c r="AK98" s="235"/>
      <c r="AL98" s="235"/>
      <c r="AM98" s="235"/>
      <c r="AN98" s="235"/>
      <c r="AO98" s="235"/>
      <c r="AP98" s="235"/>
      <c r="AQ98" s="235"/>
      <c r="AR98" s="235"/>
      <c r="AS98" s="235"/>
      <c r="AT98" s="235"/>
      <c r="AU98" s="235"/>
      <c r="AV98" s="235"/>
      <c r="AW98" s="235"/>
      <c r="AX98" s="235"/>
      <c r="AY98" s="235"/>
      <c r="AZ98" s="235"/>
      <c r="BA98" s="235"/>
      <c r="BB98" s="235"/>
      <c r="BC98" s="235"/>
      <c r="BD98" s="235"/>
    </row>
    <row r="99" spans="2:56">
      <c r="B99" s="314">
        <v>98</v>
      </c>
      <c r="C99" s="315" t="str">
        <f t="shared" si="8"/>
        <v/>
      </c>
      <c r="D99" s="316" t="str">
        <f t="shared" si="9"/>
        <v/>
      </c>
      <c r="E99" s="316" t="str">
        <f t="shared" si="12"/>
        <v/>
      </c>
      <c r="F99" s="1030" t="str">
        <f t="shared" si="13"/>
        <v/>
      </c>
      <c r="G99" s="1027"/>
      <c r="H99" s="235"/>
      <c r="I99" s="235"/>
      <c r="J99" s="235"/>
      <c r="K99" s="235"/>
      <c r="L99" s="235"/>
      <c r="M99" s="235"/>
      <c r="N99" s="235"/>
      <c r="O99" s="235"/>
      <c r="P99" s="235"/>
      <c r="Q99" s="235"/>
      <c r="R99" s="235"/>
      <c r="S99" s="235"/>
      <c r="T99" s="235"/>
      <c r="U99" s="235"/>
      <c r="V99" s="235"/>
      <c r="W99" s="235"/>
      <c r="X99" s="235"/>
      <c r="Y99" s="235"/>
      <c r="Z99" s="235"/>
      <c r="AA99" s="235"/>
      <c r="AB99" s="235"/>
      <c r="AC99" s="235"/>
      <c r="AD99" s="235"/>
      <c r="AE99" s="235"/>
      <c r="AF99" s="235"/>
      <c r="AG99" s="235"/>
      <c r="AH99" s="235"/>
      <c r="AI99" s="235"/>
      <c r="AJ99" s="235"/>
      <c r="AK99" s="235"/>
      <c r="AL99" s="235"/>
      <c r="AM99" s="235"/>
      <c r="AN99" s="235"/>
      <c r="AO99" s="235"/>
      <c r="AP99" s="235"/>
      <c r="AQ99" s="235"/>
      <c r="AR99" s="235"/>
      <c r="AS99" s="235"/>
      <c r="AT99" s="235"/>
      <c r="AU99" s="235"/>
      <c r="AV99" s="235"/>
      <c r="AW99" s="235"/>
      <c r="AX99" s="235"/>
      <c r="AY99" s="235"/>
      <c r="AZ99" s="235"/>
      <c r="BA99" s="235"/>
      <c r="BB99" s="235"/>
      <c r="BC99" s="235"/>
      <c r="BD99" s="235"/>
    </row>
    <row r="100" spans="2:56">
      <c r="B100" s="314">
        <v>99</v>
      </c>
      <c r="C100" s="315" t="str">
        <f t="shared" si="8"/>
        <v/>
      </c>
      <c r="D100" s="316" t="str">
        <f t="shared" si="9"/>
        <v/>
      </c>
      <c r="E100" s="316" t="str">
        <f t="shared" si="12"/>
        <v/>
      </c>
      <c r="F100" s="1030" t="str">
        <f t="shared" si="13"/>
        <v/>
      </c>
      <c r="G100" s="1027"/>
      <c r="H100" s="235"/>
      <c r="I100" s="235"/>
      <c r="J100" s="235"/>
      <c r="K100" s="235"/>
      <c r="L100" s="235"/>
      <c r="M100" s="235"/>
      <c r="N100" s="235"/>
      <c r="O100" s="235"/>
      <c r="P100" s="235"/>
      <c r="Q100" s="235"/>
      <c r="R100" s="235"/>
      <c r="S100" s="235"/>
      <c r="T100" s="235"/>
      <c r="U100" s="235"/>
      <c r="V100" s="235"/>
      <c r="W100" s="235"/>
      <c r="X100" s="235"/>
      <c r="Y100" s="235"/>
      <c r="Z100" s="235"/>
      <c r="AA100" s="235"/>
      <c r="AB100" s="235"/>
      <c r="AC100" s="235"/>
      <c r="AD100" s="235"/>
      <c r="AE100" s="235"/>
      <c r="AF100" s="235"/>
      <c r="AG100" s="235"/>
      <c r="AH100" s="235"/>
      <c r="AI100" s="235"/>
      <c r="AJ100" s="235"/>
      <c r="AK100" s="235"/>
      <c r="AL100" s="235"/>
      <c r="AM100" s="235"/>
      <c r="AN100" s="235"/>
      <c r="AO100" s="235"/>
      <c r="AP100" s="235"/>
      <c r="AQ100" s="235"/>
      <c r="AR100" s="235"/>
      <c r="AS100" s="235"/>
      <c r="AT100" s="235"/>
      <c r="AU100" s="235"/>
      <c r="AV100" s="235"/>
      <c r="AW100" s="235"/>
      <c r="AX100" s="235"/>
      <c r="AY100" s="235"/>
      <c r="AZ100" s="235"/>
      <c r="BA100" s="235"/>
      <c r="BB100" s="235"/>
      <c r="BC100" s="235"/>
      <c r="BD100" s="235"/>
    </row>
  </sheetData>
  <phoneticPr fontId="32" type="noConversion"/>
  <pageMargins left="0.70866141732283472" right="0.70866141732283472" top="0.74803149606299213" bottom="0.74803149606299213" header="0.31496062992125984" footer="0.31496062992125984"/>
  <pageSetup paperSize="9" scale="25" orientation="landscape" horizontalDpi="0" verticalDpi="0"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8">
    <pageSetUpPr fitToPage="1"/>
  </sheetPr>
  <dimension ref="A1:BF71"/>
  <sheetViews>
    <sheetView zoomScale="90" zoomScaleNormal="90" workbookViewId="0">
      <selection activeCell="E3" sqref="E3"/>
    </sheetView>
  </sheetViews>
  <sheetFormatPr defaultColWidth="8.7109375" defaultRowHeight="15.75"/>
  <cols>
    <col min="1" max="1" width="15" style="319" customWidth="1"/>
    <col min="2" max="2" width="13.7109375" style="325" customWidth="1"/>
    <col min="3" max="18" width="10.42578125" style="34" customWidth="1"/>
    <col min="19" max="19" width="9.28515625" style="36"/>
    <col min="20" max="30" width="9.42578125" style="34" customWidth="1"/>
    <col min="31" max="31" width="9.28515625" style="36" customWidth="1"/>
    <col min="32" max="41" width="9.42578125" style="34" customWidth="1"/>
    <col min="42" max="16384" width="8.7109375" style="34"/>
  </cols>
  <sheetData>
    <row r="1" spans="1:58">
      <c r="A1" s="609" t="s">
        <v>847</v>
      </c>
      <c r="B1" s="1172"/>
      <c r="C1" s="1019"/>
      <c r="D1" s="1019"/>
      <c r="E1" s="1019"/>
      <c r="F1" s="1019"/>
      <c r="G1" s="1019"/>
      <c r="H1" s="1019"/>
      <c r="I1" s="1019"/>
      <c r="J1" s="1019"/>
      <c r="K1" s="1019"/>
      <c r="L1" s="1019"/>
      <c r="M1" s="1019"/>
      <c r="N1" s="1019"/>
      <c r="O1" s="1019"/>
      <c r="P1" s="1019"/>
      <c r="Q1" s="707"/>
      <c r="R1" s="707"/>
      <c r="T1" s="36"/>
      <c r="U1" s="36"/>
      <c r="V1" s="36" t="s">
        <v>848</v>
      </c>
      <c r="W1" s="317">
        <f>STDEV(B3:B3000)</f>
        <v>4.5752387948325408</v>
      </c>
      <c r="X1" s="36"/>
      <c r="Y1" s="36"/>
      <c r="Z1" s="36"/>
      <c r="AA1" s="36" t="s">
        <v>849</v>
      </c>
      <c r="AB1" s="36"/>
      <c r="AC1" s="36"/>
      <c r="AD1" s="36"/>
      <c r="AF1" s="36"/>
      <c r="AG1" s="36"/>
      <c r="AH1" s="36"/>
      <c r="AI1" s="36"/>
      <c r="AJ1" s="36"/>
      <c r="AK1" s="36"/>
      <c r="AL1" s="36"/>
      <c r="AM1" s="36"/>
      <c r="AN1" s="36"/>
      <c r="AO1" s="36"/>
      <c r="AP1" s="36"/>
      <c r="AQ1" s="707"/>
      <c r="AR1" s="707"/>
      <c r="AS1" s="707"/>
      <c r="AT1" s="707"/>
      <c r="AU1" s="707"/>
      <c r="AV1" s="707"/>
      <c r="AW1" s="707"/>
      <c r="AX1" s="707"/>
      <c r="AY1" s="707"/>
      <c r="AZ1" s="707"/>
      <c r="BA1" s="707"/>
      <c r="BB1" s="707"/>
      <c r="BC1" s="707"/>
      <c r="BD1" s="707"/>
      <c r="BE1" s="707"/>
      <c r="BF1" s="707"/>
    </row>
    <row r="2" spans="1:58" ht="63">
      <c r="A2" s="30" t="s">
        <v>752</v>
      </c>
      <c r="B2" s="318" t="s">
        <v>850</v>
      </c>
      <c r="C2" s="30" t="s">
        <v>851</v>
      </c>
      <c r="D2" s="30" t="s">
        <v>796</v>
      </c>
      <c r="E2" s="30" t="s">
        <v>597</v>
      </c>
      <c r="F2" s="1168"/>
      <c r="G2" s="1168"/>
      <c r="H2" s="1168"/>
      <c r="I2" s="1168"/>
      <c r="J2" s="1168"/>
      <c r="K2" s="1168"/>
      <c r="L2" s="1168"/>
      <c r="M2" s="1168"/>
      <c r="N2" s="1168"/>
      <c r="O2" s="1168"/>
      <c r="P2" s="1168"/>
      <c r="Q2" s="1168"/>
      <c r="R2" s="1168"/>
      <c r="S2" s="283" t="s">
        <v>794</v>
      </c>
      <c r="T2" s="284" t="s">
        <v>755</v>
      </c>
      <c r="U2" s="285" t="s">
        <v>756</v>
      </c>
      <c r="V2" s="285" t="s">
        <v>757</v>
      </c>
      <c r="W2" s="284" t="s">
        <v>852</v>
      </c>
      <c r="X2" s="285" t="s">
        <v>759</v>
      </c>
      <c r="Y2" s="285" t="s">
        <v>760</v>
      </c>
      <c r="Z2" s="284" t="s">
        <v>761</v>
      </c>
      <c r="AA2" s="284" t="s">
        <v>762</v>
      </c>
      <c r="AB2" s="284" t="s">
        <v>763</v>
      </c>
      <c r="AC2" s="284" t="s">
        <v>764</v>
      </c>
      <c r="AD2" s="284"/>
      <c r="AE2" s="283" t="s">
        <v>765</v>
      </c>
      <c r="AF2" s="284" t="s">
        <v>755</v>
      </c>
      <c r="AG2" s="285" t="s">
        <v>756</v>
      </c>
      <c r="AH2" s="285" t="s">
        <v>757</v>
      </c>
      <c r="AI2" s="284" t="s">
        <v>853</v>
      </c>
      <c r="AJ2" s="285" t="s">
        <v>759</v>
      </c>
      <c r="AK2" s="285" t="s">
        <v>760</v>
      </c>
      <c r="AL2" s="284" t="s">
        <v>761</v>
      </c>
      <c r="AM2" s="284" t="s">
        <v>762</v>
      </c>
      <c r="AN2" s="284" t="s">
        <v>763</v>
      </c>
      <c r="AO2" s="284" t="s">
        <v>764</v>
      </c>
      <c r="AP2" s="36"/>
      <c r="AQ2" s="707"/>
      <c r="AR2" s="707"/>
      <c r="AS2" s="707"/>
      <c r="AT2" s="707"/>
      <c r="AU2" s="707"/>
      <c r="AV2" s="707"/>
      <c r="AW2" s="707"/>
      <c r="AX2" s="707"/>
      <c r="AY2" s="707"/>
      <c r="AZ2" s="707"/>
      <c r="BA2" s="707"/>
      <c r="BB2" s="286" t="s">
        <v>767</v>
      </c>
      <c r="BC2" s="1305" t="s">
        <v>768</v>
      </c>
      <c r="BD2" s="1307" t="s">
        <v>769</v>
      </c>
      <c r="BE2" s="1307" t="s">
        <v>770</v>
      </c>
      <c r="BF2" s="1309" t="s">
        <v>771</v>
      </c>
    </row>
    <row r="3" spans="1:58" ht="16.5" thickBot="1">
      <c r="A3" s="1173">
        <v>44593</v>
      </c>
      <c r="B3" s="320">
        <v>113.33333333333333</v>
      </c>
      <c r="C3" s="307">
        <v>6</v>
      </c>
      <c r="D3" s="307">
        <v>4</v>
      </c>
      <c r="E3" s="320">
        <v>1.8618986725025255</v>
      </c>
      <c r="F3" s="1169"/>
      <c r="G3" s="1169"/>
      <c r="H3" s="1169"/>
      <c r="I3" s="1169"/>
      <c r="J3" s="1169"/>
      <c r="K3" s="1169"/>
      <c r="L3" s="1169"/>
      <c r="M3" s="1169"/>
      <c r="N3" s="1169"/>
      <c r="O3" s="1169"/>
      <c r="P3" s="1169"/>
      <c r="Q3" s="1169"/>
      <c r="R3" s="1169"/>
      <c r="S3" s="321">
        <f>IF(B3="", "", B3)</f>
        <v>113.33333333333333</v>
      </c>
      <c r="T3" s="322">
        <f>W4-(3*$W$1)</f>
        <v>93.643957800966035</v>
      </c>
      <c r="U3" s="288">
        <f>(W3-T3)/3+T3</f>
        <v>98.219196595798579</v>
      </c>
      <c r="V3" s="288">
        <f>(W3-T3)/3*2+T3</f>
        <v>102.79443539063111</v>
      </c>
      <c r="W3" s="288">
        <f>AVERAGE(S3:S22)</f>
        <v>107.36967418546365</v>
      </c>
      <c r="X3" s="288">
        <f>(Z3-W3)/3+W3</f>
        <v>111.94491298029619</v>
      </c>
      <c r="Y3" s="288">
        <f>(Z3-W3)/3*2+W3</f>
        <v>116.52015177512872</v>
      </c>
      <c r="Z3" s="322">
        <f>W3+(3*$W$1)</f>
        <v>121.09539056996127</v>
      </c>
      <c r="AA3" s="288">
        <f>IF(OR(S3&gt;Z3,S3&lt;T3),S3,-1)</f>
        <v>-1</v>
      </c>
      <c r="AB3" s="288"/>
      <c r="AC3" s="288"/>
      <c r="AD3" s="288"/>
      <c r="AE3" s="36">
        <f>IF(D3="", "", D3)</f>
        <v>4</v>
      </c>
      <c r="AF3" s="288">
        <f>AI3*$BD$4</f>
        <v>0</v>
      </c>
      <c r="AG3" s="288">
        <f>IF(AH3-(AJ3-AI3)/3&lt;0,0,AH3-(AJ3-AI3))</f>
        <v>0</v>
      </c>
      <c r="AH3" s="288">
        <f>IF(AI3-(AJ3-AI3)/3&lt;0,0,AI3-(AJ3-AI3))</f>
        <v>10.840684210526319</v>
      </c>
      <c r="AI3" s="288">
        <f>AVERAGE(AE3:AE21)</f>
        <v>44.368421052631582</v>
      </c>
      <c r="AJ3" s="288">
        <f>(AL3-AI3)/3+AI3</f>
        <v>77.896157894736845</v>
      </c>
      <c r="AK3" s="288">
        <f>(AL3-AI3)/3*2+AI3</f>
        <v>111.4238947368421</v>
      </c>
      <c r="AL3" s="288">
        <f>AI3*$BE$4</f>
        <v>144.95163157894737</v>
      </c>
      <c r="AM3" s="288">
        <f>IF(OR(AE3&gt;AL3,AE3&lt;AF3),AE3,-1)</f>
        <v>-1</v>
      </c>
      <c r="AN3" s="288"/>
      <c r="AO3" s="288"/>
      <c r="AP3" s="707"/>
      <c r="AQ3" s="707"/>
      <c r="AR3" s="707"/>
      <c r="AS3" s="707"/>
      <c r="AT3" s="707"/>
      <c r="AU3" s="707"/>
      <c r="AV3" s="707"/>
      <c r="AW3" s="707"/>
      <c r="AX3" s="707"/>
      <c r="AY3" s="707"/>
      <c r="AZ3" s="707"/>
      <c r="BA3" s="707"/>
      <c r="BB3" s="289" t="s">
        <v>772</v>
      </c>
      <c r="BC3" s="1306"/>
      <c r="BD3" s="1308"/>
      <c r="BE3" s="1308"/>
      <c r="BF3" s="1310"/>
    </row>
    <row r="4" spans="1:58" ht="16.5" thickBot="1">
      <c r="A4" s="1173">
        <v>44594</v>
      </c>
      <c r="B4" s="320">
        <v>108.83333333333333</v>
      </c>
      <c r="C4" s="307">
        <v>6</v>
      </c>
      <c r="D4" s="307">
        <v>34</v>
      </c>
      <c r="E4" s="320">
        <v>13.197221929886066</v>
      </c>
      <c r="F4" s="1169"/>
      <c r="G4" s="1169"/>
      <c r="H4" s="1169"/>
      <c r="I4" s="1169"/>
      <c r="J4" s="1169"/>
      <c r="K4" s="1169"/>
      <c r="L4" s="1169"/>
      <c r="M4" s="1169"/>
      <c r="N4" s="1169"/>
      <c r="O4" s="1169"/>
      <c r="P4" s="1169"/>
      <c r="Q4" s="1169"/>
      <c r="R4" s="1169"/>
      <c r="S4" s="321">
        <f t="shared" ref="S4:S38" si="0">IF(B4="", "", B4)</f>
        <v>108.83333333333333</v>
      </c>
      <c r="T4" s="36">
        <f t="shared" ref="T4:AL4" si="1">T3</f>
        <v>93.643957800966035</v>
      </c>
      <c r="U4" s="36">
        <f>U3</f>
        <v>98.219196595798579</v>
      </c>
      <c r="V4" s="36">
        <f>V3</f>
        <v>102.79443539063111</v>
      </c>
      <c r="W4" s="36">
        <f t="shared" si="1"/>
        <v>107.36967418546365</v>
      </c>
      <c r="X4" s="36">
        <f>X3</f>
        <v>111.94491298029619</v>
      </c>
      <c r="Y4" s="36">
        <f>Y3</f>
        <v>116.52015177512872</v>
      </c>
      <c r="Z4" s="322">
        <f t="shared" ref="Z4:Z38" si="2">W4+(3*$W$1)</f>
        <v>121.09539056996127</v>
      </c>
      <c r="AA4" s="36">
        <f t="shared" ref="AA4:AA20" si="3">IF(OR(S4&gt;Z4,S4&lt;T4),S4,-1)</f>
        <v>-1</v>
      </c>
      <c r="AB4" s="36">
        <f>IF(IF(S3&gt;Y3,1,0)+IF(S4&gt;Y4,1,0)+IF(S5&gt;Y5,1,0)+IF(S3&lt;U3,1,0)+IF(S4&lt;U4,1,0)+IF(S5&lt;U5,1,0)&gt;=2,S4,-1)</f>
        <v>-1</v>
      </c>
      <c r="AC4" s="36"/>
      <c r="AD4" s="36"/>
      <c r="AE4" s="36">
        <f t="shared" ref="AE4:AE38" si="4">IF(D4="", "", D4)</f>
        <v>34</v>
      </c>
      <c r="AF4" s="36">
        <f t="shared" si="1"/>
        <v>0</v>
      </c>
      <c r="AG4" s="36">
        <f>AG3</f>
        <v>0</v>
      </c>
      <c r="AH4" s="36">
        <f t="shared" ref="AH4:AK4" si="5">AH3</f>
        <v>10.840684210526319</v>
      </c>
      <c r="AI4" s="36">
        <f t="shared" si="5"/>
        <v>44.368421052631582</v>
      </c>
      <c r="AJ4" s="36">
        <f t="shared" si="5"/>
        <v>77.896157894736845</v>
      </c>
      <c r="AK4" s="36">
        <f t="shared" si="5"/>
        <v>111.4238947368421</v>
      </c>
      <c r="AL4" s="36">
        <f t="shared" si="1"/>
        <v>144.95163157894737</v>
      </c>
      <c r="AM4" s="36">
        <f t="shared" ref="AM4:AM38" si="6">IF(OR(AE4&gt;AL4,AE4&lt;AF4),AE4,-1)</f>
        <v>-1</v>
      </c>
      <c r="AN4" s="36">
        <f>IF(IF(AE3&gt;AK3,1,0)+IF(AE4&gt;AK4,1,0)+IF(AE5&gt;AK5,1,0)+IF(AE3&lt;AG3,1,0)+IF(AE4&lt;AG4,1,0)+IF(AE5&lt;AG5,1,0)&gt;=2,AE4,-1)</f>
        <v>-1</v>
      </c>
      <c r="AO4" s="36"/>
      <c r="AP4" s="707"/>
      <c r="AQ4" s="707"/>
      <c r="AR4" s="707"/>
      <c r="AS4" s="707"/>
      <c r="AT4" s="707"/>
      <c r="AU4" s="707"/>
      <c r="AV4" s="707"/>
      <c r="AW4" s="707"/>
      <c r="AX4" s="707"/>
      <c r="AY4" s="707"/>
      <c r="AZ4" s="707"/>
      <c r="BA4" s="707"/>
      <c r="BB4" s="290">
        <v>2</v>
      </c>
      <c r="BC4" s="291">
        <v>1.88</v>
      </c>
      <c r="BD4" s="291"/>
      <c r="BE4" s="291">
        <v>3.2669999999999999</v>
      </c>
      <c r="BF4" s="292">
        <v>1.1279999999999999</v>
      </c>
    </row>
    <row r="5" spans="1:58" ht="16.5" thickBot="1">
      <c r="A5" s="1173">
        <v>44595</v>
      </c>
      <c r="B5" s="320">
        <v>113</v>
      </c>
      <c r="C5" s="307">
        <v>6</v>
      </c>
      <c r="D5" s="307">
        <v>7</v>
      </c>
      <c r="E5" s="320">
        <v>2.5298221281347035</v>
      </c>
      <c r="F5" s="1169"/>
      <c r="G5" s="1169"/>
      <c r="H5" s="1169"/>
      <c r="I5" s="1169"/>
      <c r="J5" s="1169"/>
      <c r="K5" s="1169"/>
      <c r="L5" s="1169"/>
      <c r="M5" s="1169"/>
      <c r="N5" s="1169"/>
      <c r="O5" s="1169"/>
      <c r="P5" s="1169"/>
      <c r="Q5" s="1169"/>
      <c r="R5" s="1169"/>
      <c r="S5" s="321">
        <f t="shared" si="0"/>
        <v>113</v>
      </c>
      <c r="T5" s="36">
        <f t="shared" ref="T5:V38" si="7">T4</f>
        <v>93.643957800966035</v>
      </c>
      <c r="U5" s="36">
        <f t="shared" si="7"/>
        <v>98.219196595798579</v>
      </c>
      <c r="V5" s="36">
        <f t="shared" si="7"/>
        <v>102.79443539063111</v>
      </c>
      <c r="W5" s="36">
        <f t="shared" ref="W5:Y38" si="8">W4</f>
        <v>107.36967418546365</v>
      </c>
      <c r="X5" s="36">
        <f t="shared" si="8"/>
        <v>111.94491298029619</v>
      </c>
      <c r="Y5" s="36">
        <f t="shared" si="8"/>
        <v>116.52015177512872</v>
      </c>
      <c r="Z5" s="322">
        <f t="shared" si="2"/>
        <v>121.09539056996127</v>
      </c>
      <c r="AA5" s="36">
        <f t="shared" si="3"/>
        <v>-1</v>
      </c>
      <c r="AB5" s="36">
        <f>IF(IF(S4&gt;Y4,1,0)+IF(S5&gt;Y5,1,0)+IF(S6&gt;Y6,1,0)+IF(S4&lt;U4,1,0)+IF(S5&lt;U5,1,0)+IF(S6&lt;U6,1,0)&gt;=2,S5,-1)</f>
        <v>-1</v>
      </c>
      <c r="AC5" s="36">
        <f>IF(IF(S3&lt;V3,1,0)+IF(S5&lt;V5,1,0)+IF(S6&lt;V6,1,0)+IF(S7&lt;V7,1,0)+IF(S4&lt;V4,1,0)+IF(S3&gt;X3,1,0)+IF(S4&gt;X4,1,0)+IF(S5&gt;X5,1,0)+IF(S6&gt;X6,1,0)+IF(S7&gt;X7,1,0)&gt;4,S5,-1)</f>
        <v>-1</v>
      </c>
      <c r="AD5" s="36"/>
      <c r="AE5" s="36">
        <f t="shared" si="4"/>
        <v>7</v>
      </c>
      <c r="AF5" s="36">
        <f t="shared" ref="AF5:AG38" si="9">AF4</f>
        <v>0</v>
      </c>
      <c r="AG5" s="36">
        <f t="shared" si="9"/>
        <v>0</v>
      </c>
      <c r="AH5" s="36">
        <f t="shared" ref="AH5:AH38" si="10">AH4</f>
        <v>10.840684210526319</v>
      </c>
      <c r="AI5" s="36">
        <f t="shared" ref="AI5:AI38" si="11">AI4</f>
        <v>44.368421052631582</v>
      </c>
      <c r="AJ5" s="36">
        <f t="shared" ref="AJ5:AJ38" si="12">AJ4</f>
        <v>77.896157894736845</v>
      </c>
      <c r="AK5" s="36">
        <f t="shared" ref="AK5:AK38" si="13">AK4</f>
        <v>111.4238947368421</v>
      </c>
      <c r="AL5" s="36">
        <f t="shared" ref="AL5:AL38" si="14">AL4</f>
        <v>144.95163157894737</v>
      </c>
      <c r="AM5" s="36">
        <f t="shared" si="6"/>
        <v>-1</v>
      </c>
      <c r="AN5" s="36">
        <f>IF(IF(AE4&gt;AK4,1,0)+IF(AE5&gt;AK5,1,0)+IF(AE6&gt;AK6,1,0)+IF(AE4&lt;AG4,1,0)+IF(AE5&lt;AG5,1,0)+IF(AE6&lt;AG6,1,0)&gt;=2,AE5,-1)</f>
        <v>-1</v>
      </c>
      <c r="AO5" s="36">
        <f>IF(IF(AE3&lt;AH3,1,0)+IF(AE5&lt;AH5,1,0)+IF(AE6&lt;AH6,1,0)+IF(AE7&lt;AH7,1,0)+IF(AE4&lt;AH4,1,0)+IF(AE3&gt;AJ3,1,0)+IF(AE4&gt;AJ4,1,0)+IF(AE5&gt;AJ5,1,0)+IF(AE6&gt;AJ6,1,0)+IF(AE7&gt;AJ7,1,0)&gt;4,AE5,-1)</f>
        <v>-1</v>
      </c>
      <c r="AP5" s="707"/>
      <c r="AQ5" s="707"/>
      <c r="AR5" s="707"/>
      <c r="AS5" s="707"/>
      <c r="AT5" s="707"/>
      <c r="AU5" s="707"/>
      <c r="AV5" s="707"/>
      <c r="AW5" s="707"/>
      <c r="AX5" s="707"/>
      <c r="AY5" s="707"/>
      <c r="AZ5" s="707"/>
      <c r="BA5" s="707"/>
      <c r="BB5" s="293">
        <v>3</v>
      </c>
      <c r="BC5" s="294">
        <v>1.0229999999999999</v>
      </c>
      <c r="BD5" s="294"/>
      <c r="BE5" s="294">
        <v>2.5739999999999998</v>
      </c>
      <c r="BF5" s="295">
        <v>1.6930000000000001</v>
      </c>
    </row>
    <row r="6" spans="1:58" ht="16.5" thickBot="1">
      <c r="A6" s="1173">
        <v>44596</v>
      </c>
      <c r="B6" s="320">
        <v>113.14285714285714</v>
      </c>
      <c r="C6" s="307">
        <v>7</v>
      </c>
      <c r="D6" s="307">
        <v>11</v>
      </c>
      <c r="E6" s="320">
        <v>3.8047589248453675</v>
      </c>
      <c r="F6" s="1169"/>
      <c r="G6" s="1169"/>
      <c r="H6" s="1169"/>
      <c r="I6" s="1169"/>
      <c r="J6" s="1169"/>
      <c r="K6" s="1169"/>
      <c r="L6" s="1169"/>
      <c r="M6" s="1169"/>
      <c r="N6" s="1169"/>
      <c r="O6" s="1169"/>
      <c r="P6" s="1169"/>
      <c r="Q6" s="1169"/>
      <c r="R6" s="1169"/>
      <c r="S6" s="321">
        <f t="shared" si="0"/>
        <v>113.14285714285714</v>
      </c>
      <c r="T6" s="36">
        <f t="shared" si="7"/>
        <v>93.643957800966035</v>
      </c>
      <c r="U6" s="36">
        <f t="shared" si="7"/>
        <v>98.219196595798579</v>
      </c>
      <c r="V6" s="36">
        <f t="shared" si="7"/>
        <v>102.79443539063111</v>
      </c>
      <c r="W6" s="36">
        <f t="shared" si="8"/>
        <v>107.36967418546365</v>
      </c>
      <c r="X6" s="36">
        <f t="shared" si="8"/>
        <v>111.94491298029619</v>
      </c>
      <c r="Y6" s="36">
        <f t="shared" si="8"/>
        <v>116.52015177512872</v>
      </c>
      <c r="Z6" s="322">
        <f t="shared" si="2"/>
        <v>121.09539056996127</v>
      </c>
      <c r="AA6" s="36">
        <f t="shared" si="3"/>
        <v>-1</v>
      </c>
      <c r="AB6" s="36">
        <f t="shared" ref="AB6:AB20" si="15">IF(IF(S5&gt;Y5,1,0)+IF(S6&gt;Y6,1,0)+IF(S7&gt;Y7,1,0)+IF(S5&lt;U5,1,0)+IF(S6&lt;U6,1,0)+IF(S7&lt;U7,1,0)&gt;=2,S6,-1)</f>
        <v>-1</v>
      </c>
      <c r="AC6" s="36">
        <f t="shared" ref="AC6:AC20" si="16">IF(IF(S4&lt;V4,1,0)+IF(S6&lt;V6,1,0)+IF(S7&lt;V7,1,0)+IF(S8&lt;V8,1,0)+IF(S5&lt;V5,1,0)+IF(S4&gt;X4,1,0)+IF(S5&gt;X5,1,0)+IF(S6&gt;X6,1,0)+IF(S7&gt;X7,1,0)+IF(S8&gt;X8,1,0)&gt;4,S6,-1)</f>
        <v>-1</v>
      </c>
      <c r="AD6" s="36"/>
      <c r="AE6" s="36">
        <f t="shared" si="4"/>
        <v>11</v>
      </c>
      <c r="AF6" s="36">
        <f t="shared" si="9"/>
        <v>0</v>
      </c>
      <c r="AG6" s="36">
        <f t="shared" si="9"/>
        <v>0</v>
      </c>
      <c r="AH6" s="36">
        <f t="shared" si="10"/>
        <v>10.840684210526319</v>
      </c>
      <c r="AI6" s="36">
        <f t="shared" si="11"/>
        <v>44.368421052631582</v>
      </c>
      <c r="AJ6" s="36">
        <f t="shared" si="12"/>
        <v>77.896157894736845</v>
      </c>
      <c r="AK6" s="36">
        <f t="shared" si="13"/>
        <v>111.4238947368421</v>
      </c>
      <c r="AL6" s="36">
        <f t="shared" si="14"/>
        <v>144.95163157894737</v>
      </c>
      <c r="AM6" s="36">
        <f t="shared" si="6"/>
        <v>-1</v>
      </c>
      <c r="AN6" s="36">
        <f t="shared" ref="AN6:AN38" si="17">IF(IF(AE5&gt;AK5,1,0)+IF(AE6&gt;AK6,1,0)+IF(AE7&gt;AK7,1,0)+IF(AE5&lt;AG5,1,0)+IF(AE6&lt;AG6,1,0)+IF(AE7&lt;AG7,1,0)&gt;=2,AE6,-1)</f>
        <v>-1</v>
      </c>
      <c r="AO6" s="36">
        <f t="shared" ref="AO6:AO32" si="18">IF(IF(AE4&lt;AH4,1,0)+IF(AE6&lt;AH6,1,0)+IF(AE7&lt;AH7,1,0)+IF(AE8&lt;AH8,1,0)+IF(AE5&lt;AH5,1,0)+IF(AE4&gt;AJ4,1,0)+IF(AE5&gt;AJ5,1,0)+IF(AE6&gt;AJ6,1,0)+IF(AE7&gt;AJ7,1,0)+IF(AE8&gt;AJ8,1,0)&gt;4,AE6,-1)</f>
        <v>-1</v>
      </c>
      <c r="AP6" s="707"/>
      <c r="AQ6" s="707"/>
      <c r="AR6" s="707"/>
      <c r="AS6" s="707"/>
      <c r="AT6" s="707"/>
      <c r="AU6" s="707"/>
      <c r="AV6" s="707"/>
      <c r="AW6" s="707"/>
      <c r="AX6" s="707"/>
      <c r="AY6" s="707"/>
      <c r="AZ6" s="1170"/>
      <c r="BA6" s="1170"/>
      <c r="BB6" s="293">
        <v>4</v>
      </c>
      <c r="BC6" s="294">
        <v>0.72899999999999998</v>
      </c>
      <c r="BD6" s="294"/>
      <c r="BE6" s="294">
        <v>2.282</v>
      </c>
      <c r="BF6" s="295">
        <v>2.0590000000000002</v>
      </c>
    </row>
    <row r="7" spans="1:58" ht="16.5" thickBot="1">
      <c r="A7" s="1173">
        <v>44597</v>
      </c>
      <c r="B7" s="320">
        <v>109.57142857142857</v>
      </c>
      <c r="C7" s="307">
        <v>7</v>
      </c>
      <c r="D7" s="307">
        <v>40</v>
      </c>
      <c r="E7" s="320">
        <v>14.397420403868013</v>
      </c>
      <c r="F7" s="1169"/>
      <c r="G7" s="1169"/>
      <c r="H7" s="1169"/>
      <c r="I7" s="1169"/>
      <c r="J7" s="1169"/>
      <c r="K7" s="1169"/>
      <c r="L7" s="1169"/>
      <c r="M7" s="1169"/>
      <c r="N7" s="1169"/>
      <c r="O7" s="1169"/>
      <c r="P7" s="1169"/>
      <c r="Q7" s="1169"/>
      <c r="R7" s="1169"/>
      <c r="S7" s="321">
        <f t="shared" si="0"/>
        <v>109.57142857142857</v>
      </c>
      <c r="T7" s="36">
        <f t="shared" si="7"/>
        <v>93.643957800966035</v>
      </c>
      <c r="U7" s="36">
        <f t="shared" si="7"/>
        <v>98.219196595798579</v>
      </c>
      <c r="V7" s="36">
        <f t="shared" si="7"/>
        <v>102.79443539063111</v>
      </c>
      <c r="W7" s="36">
        <f t="shared" si="8"/>
        <v>107.36967418546365</v>
      </c>
      <c r="X7" s="36">
        <f t="shared" si="8"/>
        <v>111.94491298029619</v>
      </c>
      <c r="Y7" s="36">
        <f t="shared" si="8"/>
        <v>116.52015177512872</v>
      </c>
      <c r="Z7" s="322">
        <f t="shared" si="2"/>
        <v>121.09539056996127</v>
      </c>
      <c r="AA7" s="36">
        <f t="shared" si="3"/>
        <v>-1</v>
      </c>
      <c r="AB7" s="36">
        <f t="shared" si="15"/>
        <v>-1</v>
      </c>
      <c r="AC7" s="36">
        <f t="shared" si="16"/>
        <v>-1</v>
      </c>
      <c r="AD7" s="36"/>
      <c r="AE7" s="36">
        <f t="shared" si="4"/>
        <v>40</v>
      </c>
      <c r="AF7" s="36">
        <f t="shared" si="9"/>
        <v>0</v>
      </c>
      <c r="AG7" s="36">
        <f t="shared" si="9"/>
        <v>0</v>
      </c>
      <c r="AH7" s="36">
        <f t="shared" si="10"/>
        <v>10.840684210526319</v>
      </c>
      <c r="AI7" s="36">
        <f t="shared" si="11"/>
        <v>44.368421052631582</v>
      </c>
      <c r="AJ7" s="36">
        <f t="shared" si="12"/>
        <v>77.896157894736845</v>
      </c>
      <c r="AK7" s="36">
        <f t="shared" si="13"/>
        <v>111.4238947368421</v>
      </c>
      <c r="AL7" s="36">
        <f t="shared" si="14"/>
        <v>144.95163157894737</v>
      </c>
      <c r="AM7" s="36">
        <f t="shared" si="6"/>
        <v>-1</v>
      </c>
      <c r="AN7" s="36">
        <f t="shared" si="17"/>
        <v>-1</v>
      </c>
      <c r="AO7" s="36">
        <f t="shared" si="18"/>
        <v>-1</v>
      </c>
      <c r="AP7" s="707"/>
      <c r="AQ7" s="707"/>
      <c r="AR7" s="707"/>
      <c r="AS7" s="707"/>
      <c r="AT7" s="707"/>
      <c r="AU7" s="707"/>
      <c r="AV7" s="707"/>
      <c r="AW7" s="707"/>
      <c r="AX7" s="707"/>
      <c r="AY7" s="707"/>
      <c r="AZ7" s="1170"/>
      <c r="BA7" s="1170"/>
      <c r="BB7" s="293">
        <v>5</v>
      </c>
      <c r="BC7" s="294">
        <v>0.57699999999999996</v>
      </c>
      <c r="BD7" s="294"/>
      <c r="BE7" s="294">
        <v>2.1139999999999999</v>
      </c>
      <c r="BF7" s="295">
        <v>2.3260000000000001</v>
      </c>
    </row>
    <row r="8" spans="1:58" ht="16.5" thickBot="1">
      <c r="A8" s="1173">
        <v>44598</v>
      </c>
      <c r="B8" s="320">
        <v>105.44444444444444</v>
      </c>
      <c r="C8" s="307">
        <v>9</v>
      </c>
      <c r="D8" s="307">
        <v>67</v>
      </c>
      <c r="E8" s="320">
        <v>21.662820171385288</v>
      </c>
      <c r="F8" s="1169"/>
      <c r="G8" s="1169"/>
      <c r="H8" s="1169"/>
      <c r="I8" s="1169"/>
      <c r="J8" s="1169"/>
      <c r="K8" s="1169"/>
      <c r="L8" s="1169"/>
      <c r="M8" s="1169"/>
      <c r="N8" s="1169"/>
      <c r="O8" s="1169"/>
      <c r="P8" s="1169"/>
      <c r="Q8" s="1169"/>
      <c r="R8" s="1169"/>
      <c r="S8" s="321">
        <f t="shared" si="0"/>
        <v>105.44444444444444</v>
      </c>
      <c r="T8" s="36">
        <f t="shared" si="7"/>
        <v>93.643957800966035</v>
      </c>
      <c r="U8" s="36">
        <f t="shared" si="7"/>
        <v>98.219196595798579</v>
      </c>
      <c r="V8" s="36">
        <f t="shared" si="7"/>
        <v>102.79443539063111</v>
      </c>
      <c r="W8" s="36">
        <f t="shared" si="8"/>
        <v>107.36967418546365</v>
      </c>
      <c r="X8" s="36">
        <f t="shared" si="8"/>
        <v>111.94491298029619</v>
      </c>
      <c r="Y8" s="36">
        <f t="shared" si="8"/>
        <v>116.52015177512872</v>
      </c>
      <c r="Z8" s="322">
        <f t="shared" si="2"/>
        <v>121.09539056996127</v>
      </c>
      <c r="AA8" s="36">
        <f t="shared" si="3"/>
        <v>-1</v>
      </c>
      <c r="AB8" s="36">
        <f t="shared" si="15"/>
        <v>-1</v>
      </c>
      <c r="AC8" s="36">
        <f t="shared" si="16"/>
        <v>-1</v>
      </c>
      <c r="AD8" s="36"/>
      <c r="AE8" s="36">
        <f t="shared" si="4"/>
        <v>67</v>
      </c>
      <c r="AF8" s="36">
        <f t="shared" si="9"/>
        <v>0</v>
      </c>
      <c r="AG8" s="36">
        <f t="shared" si="9"/>
        <v>0</v>
      </c>
      <c r="AH8" s="36">
        <f t="shared" si="10"/>
        <v>10.840684210526319</v>
      </c>
      <c r="AI8" s="36">
        <f t="shared" si="11"/>
        <v>44.368421052631582</v>
      </c>
      <c r="AJ8" s="36">
        <f t="shared" si="12"/>
        <v>77.896157894736845</v>
      </c>
      <c r="AK8" s="36">
        <f t="shared" si="13"/>
        <v>111.4238947368421</v>
      </c>
      <c r="AL8" s="36">
        <f t="shared" si="14"/>
        <v>144.95163157894737</v>
      </c>
      <c r="AM8" s="36">
        <f t="shared" si="6"/>
        <v>-1</v>
      </c>
      <c r="AN8" s="36">
        <f t="shared" si="17"/>
        <v>-1</v>
      </c>
      <c r="AO8" s="36">
        <f t="shared" si="18"/>
        <v>-1</v>
      </c>
      <c r="AP8" s="707"/>
      <c r="AQ8" s="707"/>
      <c r="AR8" s="707"/>
      <c r="AS8" s="707"/>
      <c r="AT8" s="707"/>
      <c r="AU8" s="707"/>
      <c r="AV8" s="707"/>
      <c r="AW8" s="707"/>
      <c r="AX8" s="707"/>
      <c r="AY8" s="707"/>
      <c r="AZ8" s="707"/>
      <c r="BA8" s="707"/>
      <c r="BB8" s="293">
        <v>6</v>
      </c>
      <c r="BC8" s="294">
        <v>0.48299999999999998</v>
      </c>
      <c r="BD8" s="294"/>
      <c r="BE8" s="294">
        <v>2.004</v>
      </c>
      <c r="BF8" s="295">
        <v>2.5339999999999998</v>
      </c>
    </row>
    <row r="9" spans="1:58" ht="16.5" thickBot="1">
      <c r="A9" s="1173">
        <v>44599</v>
      </c>
      <c r="B9" s="320">
        <v>101.875</v>
      </c>
      <c r="C9" s="307">
        <v>8</v>
      </c>
      <c r="D9" s="307">
        <v>84</v>
      </c>
      <c r="E9" s="320">
        <v>29.098048535450424</v>
      </c>
      <c r="F9" s="1169"/>
      <c r="G9" s="1169"/>
      <c r="H9" s="1169"/>
      <c r="I9" s="1169"/>
      <c r="J9" s="1169"/>
      <c r="K9" s="1169"/>
      <c r="L9" s="1169"/>
      <c r="M9" s="1169"/>
      <c r="N9" s="1169"/>
      <c r="O9" s="1169"/>
      <c r="P9" s="1169"/>
      <c r="Q9" s="1169"/>
      <c r="R9" s="1169"/>
      <c r="S9" s="321">
        <f t="shared" si="0"/>
        <v>101.875</v>
      </c>
      <c r="T9" s="36">
        <f t="shared" si="7"/>
        <v>93.643957800966035</v>
      </c>
      <c r="U9" s="36">
        <f t="shared" si="7"/>
        <v>98.219196595798579</v>
      </c>
      <c r="V9" s="36">
        <f t="shared" si="7"/>
        <v>102.79443539063111</v>
      </c>
      <c r="W9" s="36">
        <f t="shared" si="8"/>
        <v>107.36967418546365</v>
      </c>
      <c r="X9" s="36">
        <f t="shared" si="8"/>
        <v>111.94491298029619</v>
      </c>
      <c r="Y9" s="36">
        <f t="shared" si="8"/>
        <v>116.52015177512872</v>
      </c>
      <c r="Z9" s="322">
        <f t="shared" si="2"/>
        <v>121.09539056996127</v>
      </c>
      <c r="AA9" s="36">
        <f t="shared" si="3"/>
        <v>-1</v>
      </c>
      <c r="AB9" s="36">
        <f t="shared" si="15"/>
        <v>-1</v>
      </c>
      <c r="AC9" s="36">
        <f t="shared" si="16"/>
        <v>-1</v>
      </c>
      <c r="AD9" s="36"/>
      <c r="AE9" s="36">
        <f t="shared" si="4"/>
        <v>84</v>
      </c>
      <c r="AF9" s="36">
        <f t="shared" si="9"/>
        <v>0</v>
      </c>
      <c r="AG9" s="36">
        <f t="shared" si="9"/>
        <v>0</v>
      </c>
      <c r="AH9" s="36">
        <f t="shared" si="10"/>
        <v>10.840684210526319</v>
      </c>
      <c r="AI9" s="36">
        <f t="shared" si="11"/>
        <v>44.368421052631582</v>
      </c>
      <c r="AJ9" s="36">
        <f t="shared" si="12"/>
        <v>77.896157894736845</v>
      </c>
      <c r="AK9" s="36">
        <f t="shared" si="13"/>
        <v>111.4238947368421</v>
      </c>
      <c r="AL9" s="36">
        <f t="shared" si="14"/>
        <v>144.95163157894737</v>
      </c>
      <c r="AM9" s="36">
        <f t="shared" si="6"/>
        <v>-1</v>
      </c>
      <c r="AN9" s="36">
        <f t="shared" si="17"/>
        <v>-1</v>
      </c>
      <c r="AO9" s="36">
        <f t="shared" si="18"/>
        <v>-1</v>
      </c>
      <c r="AP9" s="707"/>
      <c r="AQ9" s="707"/>
      <c r="AR9" s="707"/>
      <c r="AS9" s="707"/>
      <c r="AT9" s="707"/>
      <c r="AU9" s="707"/>
      <c r="AV9" s="707"/>
      <c r="AW9" s="707"/>
      <c r="AX9" s="707"/>
      <c r="AY9" s="707"/>
      <c r="AZ9" s="707"/>
      <c r="BA9" s="707"/>
      <c r="BB9" s="293">
        <v>7</v>
      </c>
      <c r="BC9" s="294">
        <v>0.41899999999999998</v>
      </c>
      <c r="BD9" s="294">
        <v>7.5999999999999998E-2</v>
      </c>
      <c r="BE9" s="294">
        <v>1.9239999999999999</v>
      </c>
      <c r="BF9" s="295">
        <v>2.7040000000000002</v>
      </c>
    </row>
    <row r="10" spans="1:58" ht="16.5" thickBot="1">
      <c r="A10" s="1173">
        <v>44600</v>
      </c>
      <c r="B10" s="320">
        <v>109.42857142857143</v>
      </c>
      <c r="C10" s="307">
        <v>7</v>
      </c>
      <c r="D10" s="307">
        <v>12</v>
      </c>
      <c r="E10" s="320">
        <v>4.6853368024487798</v>
      </c>
      <c r="F10" s="1169"/>
      <c r="G10" s="1169"/>
      <c r="H10" s="1169"/>
      <c r="I10" s="1169"/>
      <c r="J10" s="1169"/>
      <c r="K10" s="1169"/>
      <c r="L10" s="1169"/>
      <c r="M10" s="1169"/>
      <c r="N10" s="1169"/>
      <c r="O10" s="1169"/>
      <c r="P10" s="1169"/>
      <c r="Q10" s="1169"/>
      <c r="R10" s="1169"/>
      <c r="S10" s="321">
        <f t="shared" si="0"/>
        <v>109.42857142857143</v>
      </c>
      <c r="T10" s="36">
        <f t="shared" si="7"/>
        <v>93.643957800966035</v>
      </c>
      <c r="U10" s="36">
        <f t="shared" si="7"/>
        <v>98.219196595798579</v>
      </c>
      <c r="V10" s="36">
        <f t="shared" si="7"/>
        <v>102.79443539063111</v>
      </c>
      <c r="W10" s="36">
        <f t="shared" si="8"/>
        <v>107.36967418546365</v>
      </c>
      <c r="X10" s="36">
        <f t="shared" si="8"/>
        <v>111.94491298029619</v>
      </c>
      <c r="Y10" s="36">
        <f t="shared" si="8"/>
        <v>116.52015177512872</v>
      </c>
      <c r="Z10" s="322">
        <f t="shared" si="2"/>
        <v>121.09539056996127</v>
      </c>
      <c r="AA10" s="36">
        <f t="shared" si="3"/>
        <v>-1</v>
      </c>
      <c r="AB10" s="36">
        <f t="shared" si="15"/>
        <v>-1</v>
      </c>
      <c r="AC10" s="36">
        <f t="shared" si="16"/>
        <v>-1</v>
      </c>
      <c r="AD10" s="36"/>
      <c r="AE10" s="36">
        <f t="shared" si="4"/>
        <v>12</v>
      </c>
      <c r="AF10" s="36">
        <f t="shared" si="9"/>
        <v>0</v>
      </c>
      <c r="AG10" s="36">
        <f t="shared" si="9"/>
        <v>0</v>
      </c>
      <c r="AH10" s="36">
        <f t="shared" si="10"/>
        <v>10.840684210526319</v>
      </c>
      <c r="AI10" s="36">
        <f t="shared" si="11"/>
        <v>44.368421052631582</v>
      </c>
      <c r="AJ10" s="36">
        <f t="shared" si="12"/>
        <v>77.896157894736845</v>
      </c>
      <c r="AK10" s="36">
        <f t="shared" si="13"/>
        <v>111.4238947368421</v>
      </c>
      <c r="AL10" s="36">
        <f t="shared" si="14"/>
        <v>144.95163157894737</v>
      </c>
      <c r="AM10" s="36">
        <f t="shared" si="6"/>
        <v>-1</v>
      </c>
      <c r="AN10" s="36">
        <f t="shared" si="17"/>
        <v>-1</v>
      </c>
      <c r="AO10" s="36">
        <f t="shared" si="18"/>
        <v>-1</v>
      </c>
      <c r="AP10" s="707"/>
      <c r="AQ10" s="707"/>
      <c r="AR10" s="707"/>
      <c r="AS10" s="707"/>
      <c r="AT10" s="707"/>
      <c r="AU10" s="707"/>
      <c r="AV10" s="707"/>
      <c r="AW10" s="707"/>
      <c r="AX10" s="707"/>
      <c r="AY10" s="707"/>
      <c r="AZ10" s="707"/>
      <c r="BA10" s="707"/>
      <c r="BB10" s="293">
        <v>8</v>
      </c>
      <c r="BC10" s="294">
        <v>0.373</v>
      </c>
      <c r="BD10" s="294">
        <v>0.13600000000000001</v>
      </c>
      <c r="BE10" s="294">
        <v>1.8640000000000001</v>
      </c>
      <c r="BF10" s="295">
        <v>2.847</v>
      </c>
    </row>
    <row r="11" spans="1:58" ht="16.5" thickBot="1">
      <c r="A11" s="1173">
        <v>44601</v>
      </c>
      <c r="B11" s="320">
        <v>107.85714285714286</v>
      </c>
      <c r="C11" s="307">
        <v>7</v>
      </c>
      <c r="D11" s="307">
        <v>51</v>
      </c>
      <c r="E11" s="1006">
        <v>18.595954501168368</v>
      </c>
      <c r="F11" s="1169"/>
      <c r="G11" s="1169"/>
      <c r="H11" s="1169"/>
      <c r="I11" s="1169"/>
      <c r="J11" s="1169"/>
      <c r="K11" s="1169"/>
      <c r="L11" s="1169"/>
      <c r="M11" s="1169"/>
      <c r="N11" s="1169"/>
      <c r="O11" s="1169"/>
      <c r="P11" s="1169"/>
      <c r="Q11" s="1169"/>
      <c r="R11" s="1169"/>
      <c r="S11" s="321">
        <f t="shared" si="0"/>
        <v>107.85714285714286</v>
      </c>
      <c r="T11" s="36">
        <f t="shared" si="7"/>
        <v>93.643957800966035</v>
      </c>
      <c r="U11" s="36">
        <f t="shared" si="7"/>
        <v>98.219196595798579</v>
      </c>
      <c r="V11" s="36">
        <f t="shared" si="7"/>
        <v>102.79443539063111</v>
      </c>
      <c r="W11" s="36">
        <f t="shared" si="8"/>
        <v>107.36967418546365</v>
      </c>
      <c r="X11" s="36">
        <f t="shared" si="8"/>
        <v>111.94491298029619</v>
      </c>
      <c r="Y11" s="36">
        <f t="shared" si="8"/>
        <v>116.52015177512872</v>
      </c>
      <c r="Z11" s="322">
        <f t="shared" si="2"/>
        <v>121.09539056996127</v>
      </c>
      <c r="AA11" s="36">
        <f t="shared" si="3"/>
        <v>-1</v>
      </c>
      <c r="AB11" s="36">
        <f t="shared" si="15"/>
        <v>-1</v>
      </c>
      <c r="AC11" s="36">
        <f t="shared" si="16"/>
        <v>-1</v>
      </c>
      <c r="AD11" s="36"/>
      <c r="AE11" s="36">
        <f t="shared" si="4"/>
        <v>51</v>
      </c>
      <c r="AF11" s="36">
        <f t="shared" si="9"/>
        <v>0</v>
      </c>
      <c r="AG11" s="36">
        <f t="shared" si="9"/>
        <v>0</v>
      </c>
      <c r="AH11" s="36">
        <f t="shared" si="10"/>
        <v>10.840684210526319</v>
      </c>
      <c r="AI11" s="36">
        <f t="shared" si="11"/>
        <v>44.368421052631582</v>
      </c>
      <c r="AJ11" s="36">
        <f t="shared" si="12"/>
        <v>77.896157894736845</v>
      </c>
      <c r="AK11" s="36">
        <f t="shared" si="13"/>
        <v>111.4238947368421</v>
      </c>
      <c r="AL11" s="36">
        <f t="shared" si="14"/>
        <v>144.95163157894737</v>
      </c>
      <c r="AM11" s="36">
        <f t="shared" si="6"/>
        <v>-1</v>
      </c>
      <c r="AN11" s="36">
        <f t="shared" si="17"/>
        <v>-1</v>
      </c>
      <c r="AO11" s="36">
        <f t="shared" si="18"/>
        <v>-1</v>
      </c>
      <c r="AP11" s="707"/>
      <c r="AQ11" s="707"/>
      <c r="AR11" s="707"/>
      <c r="AS11" s="707"/>
      <c r="AT11" s="707"/>
      <c r="AU11" s="707"/>
      <c r="AV11" s="707"/>
      <c r="AW11" s="707"/>
      <c r="AX11" s="707"/>
      <c r="AY11" s="707"/>
      <c r="AZ11" s="707"/>
      <c r="BA11" s="707"/>
      <c r="BB11" s="293">
        <v>9</v>
      </c>
      <c r="BC11" s="294">
        <v>0.33700000000000002</v>
      </c>
      <c r="BD11" s="294">
        <v>0.184</v>
      </c>
      <c r="BE11" s="294">
        <v>1.8160000000000001</v>
      </c>
      <c r="BF11" s="295">
        <v>2.97</v>
      </c>
    </row>
    <row r="12" spans="1:58" ht="16.5" thickBot="1">
      <c r="A12" s="1173">
        <v>44602</v>
      </c>
      <c r="B12" s="320">
        <v>105.5</v>
      </c>
      <c r="C12" s="307">
        <v>6</v>
      </c>
      <c r="D12" s="307">
        <v>58</v>
      </c>
      <c r="E12" s="320">
        <v>22.54550953072474</v>
      </c>
      <c r="F12" s="1169"/>
      <c r="G12" s="1169"/>
      <c r="H12" s="1169"/>
      <c r="I12" s="1169"/>
      <c r="J12" s="1169"/>
      <c r="K12" s="1169"/>
      <c r="L12" s="1169"/>
      <c r="M12" s="1169"/>
      <c r="N12" s="1169"/>
      <c r="O12" s="1169"/>
      <c r="P12" s="1169"/>
      <c r="Q12" s="1169"/>
      <c r="R12" s="1169"/>
      <c r="S12" s="321">
        <f t="shared" si="0"/>
        <v>105.5</v>
      </c>
      <c r="T12" s="36">
        <f t="shared" si="7"/>
        <v>93.643957800966035</v>
      </c>
      <c r="U12" s="36">
        <f t="shared" si="7"/>
        <v>98.219196595798579</v>
      </c>
      <c r="V12" s="36">
        <f t="shared" si="7"/>
        <v>102.79443539063111</v>
      </c>
      <c r="W12" s="36">
        <f t="shared" si="8"/>
        <v>107.36967418546365</v>
      </c>
      <c r="X12" s="36">
        <f t="shared" si="8"/>
        <v>111.94491298029619</v>
      </c>
      <c r="Y12" s="36">
        <f t="shared" si="8"/>
        <v>116.52015177512872</v>
      </c>
      <c r="Z12" s="322">
        <f t="shared" si="2"/>
        <v>121.09539056996127</v>
      </c>
      <c r="AA12" s="36">
        <f t="shared" si="3"/>
        <v>-1</v>
      </c>
      <c r="AB12" s="36">
        <f t="shared" si="15"/>
        <v>-1</v>
      </c>
      <c r="AC12" s="36">
        <f t="shared" si="16"/>
        <v>-1</v>
      </c>
      <c r="AD12" s="36"/>
      <c r="AE12" s="36">
        <f t="shared" si="4"/>
        <v>58</v>
      </c>
      <c r="AF12" s="36">
        <f t="shared" si="9"/>
        <v>0</v>
      </c>
      <c r="AG12" s="36">
        <f t="shared" si="9"/>
        <v>0</v>
      </c>
      <c r="AH12" s="36">
        <f t="shared" si="10"/>
        <v>10.840684210526319</v>
      </c>
      <c r="AI12" s="36">
        <f t="shared" si="11"/>
        <v>44.368421052631582</v>
      </c>
      <c r="AJ12" s="36">
        <f t="shared" si="12"/>
        <v>77.896157894736845</v>
      </c>
      <c r="AK12" s="36">
        <f t="shared" si="13"/>
        <v>111.4238947368421</v>
      </c>
      <c r="AL12" s="36">
        <f t="shared" si="14"/>
        <v>144.95163157894737</v>
      </c>
      <c r="AM12" s="36">
        <f t="shared" si="6"/>
        <v>-1</v>
      </c>
      <c r="AN12" s="36">
        <f t="shared" si="17"/>
        <v>-1</v>
      </c>
      <c r="AO12" s="36">
        <f t="shared" si="18"/>
        <v>-1</v>
      </c>
      <c r="AP12" s="707"/>
      <c r="AQ12" s="707"/>
      <c r="AR12" s="707"/>
      <c r="AS12" s="707"/>
      <c r="AT12" s="707"/>
      <c r="AU12" s="707"/>
      <c r="AV12" s="707"/>
      <c r="AW12" s="707"/>
      <c r="AX12" s="707"/>
      <c r="AY12" s="707"/>
      <c r="AZ12" s="707"/>
      <c r="BA12" s="707"/>
      <c r="BB12" s="293">
        <v>10</v>
      </c>
      <c r="BC12" s="294">
        <v>0.308</v>
      </c>
      <c r="BD12" s="294">
        <v>0.223</v>
      </c>
      <c r="BE12" s="294">
        <v>1.7769999999999999</v>
      </c>
      <c r="BF12" s="295">
        <v>3.0779999999999998</v>
      </c>
    </row>
    <row r="13" spans="1:58" ht="16.5" thickBot="1">
      <c r="A13" s="1173">
        <v>44603</v>
      </c>
      <c r="B13" s="320">
        <v>110.42857142857143</v>
      </c>
      <c r="C13" s="307">
        <v>7</v>
      </c>
      <c r="D13" s="307">
        <v>12</v>
      </c>
      <c r="E13" s="320">
        <v>4.4293394111365654</v>
      </c>
      <c r="F13" s="1169"/>
      <c r="G13" s="1169"/>
      <c r="H13" s="1169"/>
      <c r="I13" s="1169"/>
      <c r="J13" s="1169"/>
      <c r="K13" s="1169"/>
      <c r="L13" s="1169"/>
      <c r="M13" s="1169"/>
      <c r="N13" s="1169"/>
      <c r="O13" s="1169"/>
      <c r="P13" s="1169"/>
      <c r="Q13" s="1169"/>
      <c r="R13" s="1169"/>
      <c r="S13" s="321">
        <f t="shared" si="0"/>
        <v>110.42857142857143</v>
      </c>
      <c r="T13" s="36">
        <f t="shared" si="7"/>
        <v>93.643957800966035</v>
      </c>
      <c r="U13" s="36">
        <f t="shared" si="7"/>
        <v>98.219196595798579</v>
      </c>
      <c r="V13" s="36">
        <f t="shared" si="7"/>
        <v>102.79443539063111</v>
      </c>
      <c r="W13" s="36">
        <f t="shared" si="8"/>
        <v>107.36967418546365</v>
      </c>
      <c r="X13" s="36">
        <f t="shared" si="8"/>
        <v>111.94491298029619</v>
      </c>
      <c r="Y13" s="36">
        <f t="shared" si="8"/>
        <v>116.52015177512872</v>
      </c>
      <c r="Z13" s="322">
        <f t="shared" si="2"/>
        <v>121.09539056996127</v>
      </c>
      <c r="AA13" s="36">
        <f t="shared" si="3"/>
        <v>-1</v>
      </c>
      <c r="AB13" s="36">
        <f t="shared" si="15"/>
        <v>-1</v>
      </c>
      <c r="AC13" s="36">
        <f t="shared" si="16"/>
        <v>-1</v>
      </c>
      <c r="AD13" s="36"/>
      <c r="AE13" s="36">
        <f t="shared" si="4"/>
        <v>12</v>
      </c>
      <c r="AF13" s="36">
        <f t="shared" si="9"/>
        <v>0</v>
      </c>
      <c r="AG13" s="36">
        <f t="shared" si="9"/>
        <v>0</v>
      </c>
      <c r="AH13" s="36">
        <f t="shared" si="10"/>
        <v>10.840684210526319</v>
      </c>
      <c r="AI13" s="36">
        <f t="shared" si="11"/>
        <v>44.368421052631582</v>
      </c>
      <c r="AJ13" s="36">
        <f t="shared" si="12"/>
        <v>77.896157894736845</v>
      </c>
      <c r="AK13" s="36">
        <f t="shared" si="13"/>
        <v>111.4238947368421</v>
      </c>
      <c r="AL13" s="36">
        <f t="shared" si="14"/>
        <v>144.95163157894737</v>
      </c>
      <c r="AM13" s="36">
        <f t="shared" si="6"/>
        <v>-1</v>
      </c>
      <c r="AN13" s="36">
        <f t="shared" si="17"/>
        <v>-1</v>
      </c>
      <c r="AO13" s="36">
        <f t="shared" si="18"/>
        <v>-1</v>
      </c>
      <c r="AP13" s="707"/>
      <c r="AQ13" s="707"/>
      <c r="AR13" s="707"/>
      <c r="AS13" s="707"/>
      <c r="AT13" s="707"/>
      <c r="AU13" s="707"/>
      <c r="AV13" s="707"/>
      <c r="AW13" s="707"/>
      <c r="AX13" s="707"/>
      <c r="AY13" s="707"/>
      <c r="AZ13" s="707"/>
      <c r="BA13" s="707"/>
      <c r="BB13" s="293">
        <v>11</v>
      </c>
      <c r="BC13" s="294">
        <v>0.28499999999999998</v>
      </c>
      <c r="BD13" s="294">
        <v>0.25600000000000001</v>
      </c>
      <c r="BE13" s="294">
        <v>1.774</v>
      </c>
      <c r="BF13" s="295">
        <v>3.173</v>
      </c>
    </row>
    <row r="14" spans="1:58" ht="16.5" thickBot="1">
      <c r="A14" s="1173">
        <v>44604</v>
      </c>
      <c r="B14" s="320">
        <v>112.85714285714286</v>
      </c>
      <c r="C14" s="307">
        <v>7</v>
      </c>
      <c r="D14" s="307">
        <v>5</v>
      </c>
      <c r="E14" s="320">
        <v>1.9518001458970664</v>
      </c>
      <c r="F14" s="1169"/>
      <c r="G14" s="1169"/>
      <c r="H14" s="1169"/>
      <c r="I14" s="1169"/>
      <c r="J14" s="1169"/>
      <c r="K14" s="1169"/>
      <c r="L14" s="1169"/>
      <c r="M14" s="1169"/>
      <c r="N14" s="1169"/>
      <c r="O14" s="1169"/>
      <c r="P14" s="1169"/>
      <c r="Q14" s="1169"/>
      <c r="R14" s="1169"/>
      <c r="S14" s="321">
        <f t="shared" si="0"/>
        <v>112.85714285714286</v>
      </c>
      <c r="T14" s="36">
        <f t="shared" si="7"/>
        <v>93.643957800966035</v>
      </c>
      <c r="U14" s="36">
        <f t="shared" si="7"/>
        <v>98.219196595798579</v>
      </c>
      <c r="V14" s="36">
        <f t="shared" si="7"/>
        <v>102.79443539063111</v>
      </c>
      <c r="W14" s="36">
        <f t="shared" si="8"/>
        <v>107.36967418546365</v>
      </c>
      <c r="X14" s="36">
        <f t="shared" si="8"/>
        <v>111.94491298029619</v>
      </c>
      <c r="Y14" s="36">
        <f t="shared" si="8"/>
        <v>116.52015177512872</v>
      </c>
      <c r="Z14" s="322">
        <f t="shared" si="2"/>
        <v>121.09539056996127</v>
      </c>
      <c r="AA14" s="36">
        <f t="shared" si="3"/>
        <v>-1</v>
      </c>
      <c r="AB14" s="36">
        <f t="shared" si="15"/>
        <v>-1</v>
      </c>
      <c r="AC14" s="36">
        <f t="shared" si="16"/>
        <v>-1</v>
      </c>
      <c r="AD14" s="36"/>
      <c r="AE14" s="36">
        <f t="shared" si="4"/>
        <v>5</v>
      </c>
      <c r="AF14" s="36">
        <f t="shared" si="9"/>
        <v>0</v>
      </c>
      <c r="AG14" s="36">
        <f t="shared" si="9"/>
        <v>0</v>
      </c>
      <c r="AH14" s="36">
        <f t="shared" si="10"/>
        <v>10.840684210526319</v>
      </c>
      <c r="AI14" s="36">
        <f t="shared" si="11"/>
        <v>44.368421052631582</v>
      </c>
      <c r="AJ14" s="36">
        <f t="shared" si="12"/>
        <v>77.896157894736845</v>
      </c>
      <c r="AK14" s="36">
        <f t="shared" si="13"/>
        <v>111.4238947368421</v>
      </c>
      <c r="AL14" s="36">
        <f t="shared" si="14"/>
        <v>144.95163157894737</v>
      </c>
      <c r="AM14" s="36">
        <f t="shared" si="6"/>
        <v>-1</v>
      </c>
      <c r="AN14" s="36">
        <f t="shared" si="17"/>
        <v>-1</v>
      </c>
      <c r="AO14" s="36">
        <f t="shared" si="18"/>
        <v>-1</v>
      </c>
      <c r="AP14" s="707"/>
      <c r="AQ14" s="707"/>
      <c r="AR14" s="707"/>
      <c r="AS14" s="707"/>
      <c r="AT14" s="707"/>
      <c r="AU14" s="707"/>
      <c r="AV14" s="707"/>
      <c r="AW14" s="707"/>
      <c r="AX14" s="707"/>
      <c r="AY14" s="707"/>
      <c r="AZ14" s="707"/>
      <c r="BA14" s="707"/>
      <c r="BB14" s="293">
        <v>12</v>
      </c>
      <c r="BC14" s="294">
        <v>0.26600000000000001</v>
      </c>
      <c r="BD14" s="294">
        <v>0.28399999999999997</v>
      </c>
      <c r="BE14" s="294">
        <v>1.716</v>
      </c>
      <c r="BF14" s="295">
        <v>3.258</v>
      </c>
    </row>
    <row r="15" spans="1:58" ht="16.5" thickBot="1">
      <c r="A15" s="1173">
        <v>44605</v>
      </c>
      <c r="B15" s="320">
        <v>101.85714285714286</v>
      </c>
      <c r="C15" s="307">
        <v>7</v>
      </c>
      <c r="D15" s="307">
        <v>87</v>
      </c>
      <c r="E15" s="320">
        <v>32.16845541535254</v>
      </c>
      <c r="F15" s="1169"/>
      <c r="G15" s="1169"/>
      <c r="H15" s="1169"/>
      <c r="I15" s="1169"/>
      <c r="J15" s="1169"/>
      <c r="K15" s="1169"/>
      <c r="L15" s="1169"/>
      <c r="M15" s="1169"/>
      <c r="N15" s="1169"/>
      <c r="O15" s="1169"/>
      <c r="P15" s="1169"/>
      <c r="Q15" s="1169"/>
      <c r="R15" s="1169"/>
      <c r="S15" s="321">
        <f t="shared" si="0"/>
        <v>101.85714285714286</v>
      </c>
      <c r="T15" s="36">
        <f t="shared" si="7"/>
        <v>93.643957800966035</v>
      </c>
      <c r="U15" s="36">
        <f t="shared" si="7"/>
        <v>98.219196595798579</v>
      </c>
      <c r="V15" s="36">
        <f t="shared" si="7"/>
        <v>102.79443539063111</v>
      </c>
      <c r="W15" s="36">
        <f t="shared" si="8"/>
        <v>107.36967418546365</v>
      </c>
      <c r="X15" s="36">
        <f t="shared" si="8"/>
        <v>111.94491298029619</v>
      </c>
      <c r="Y15" s="36">
        <f t="shared" si="8"/>
        <v>116.52015177512872</v>
      </c>
      <c r="Z15" s="322">
        <f t="shared" si="2"/>
        <v>121.09539056996127</v>
      </c>
      <c r="AA15" s="36">
        <f t="shared" si="3"/>
        <v>-1</v>
      </c>
      <c r="AB15" s="36">
        <f t="shared" si="15"/>
        <v>-1</v>
      </c>
      <c r="AC15" s="36">
        <f t="shared" si="16"/>
        <v>-1</v>
      </c>
      <c r="AD15" s="36"/>
      <c r="AE15" s="36">
        <f t="shared" si="4"/>
        <v>87</v>
      </c>
      <c r="AF15" s="36">
        <f t="shared" si="9"/>
        <v>0</v>
      </c>
      <c r="AG15" s="36">
        <f t="shared" si="9"/>
        <v>0</v>
      </c>
      <c r="AH15" s="36">
        <f t="shared" si="10"/>
        <v>10.840684210526319</v>
      </c>
      <c r="AI15" s="36">
        <f t="shared" si="11"/>
        <v>44.368421052631582</v>
      </c>
      <c r="AJ15" s="36">
        <f t="shared" si="12"/>
        <v>77.896157894736845</v>
      </c>
      <c r="AK15" s="36">
        <f t="shared" si="13"/>
        <v>111.4238947368421</v>
      </c>
      <c r="AL15" s="36">
        <f t="shared" si="14"/>
        <v>144.95163157894737</v>
      </c>
      <c r="AM15" s="36">
        <f t="shared" si="6"/>
        <v>-1</v>
      </c>
      <c r="AN15" s="36">
        <f t="shared" si="17"/>
        <v>-1</v>
      </c>
      <c r="AO15" s="36">
        <f t="shared" si="18"/>
        <v>-1</v>
      </c>
      <c r="AP15" s="707"/>
      <c r="AQ15" s="707"/>
      <c r="AR15" s="707"/>
      <c r="AS15" s="707"/>
      <c r="AT15" s="707"/>
      <c r="AU15" s="707"/>
      <c r="AV15" s="707"/>
      <c r="AW15" s="707"/>
      <c r="AX15" s="707"/>
      <c r="AY15" s="707"/>
      <c r="AZ15" s="707"/>
      <c r="BA15" s="707"/>
      <c r="BB15" s="293">
        <v>13</v>
      </c>
      <c r="BC15" s="294">
        <v>0.249</v>
      </c>
      <c r="BD15" s="294">
        <v>0.308</v>
      </c>
      <c r="BE15" s="294">
        <v>1.6919999999999999</v>
      </c>
      <c r="BF15" s="295">
        <v>3.3359999999999999</v>
      </c>
    </row>
    <row r="16" spans="1:58" ht="16.5" thickBot="1">
      <c r="A16" s="1173">
        <v>44606</v>
      </c>
      <c r="B16" s="320">
        <v>105.42857142857143</v>
      </c>
      <c r="C16" s="307">
        <v>7</v>
      </c>
      <c r="D16" s="307">
        <v>59</v>
      </c>
      <c r="E16" s="320">
        <v>21.070177525412113</v>
      </c>
      <c r="F16" s="1169"/>
      <c r="G16" s="1169"/>
      <c r="H16" s="1169"/>
      <c r="I16" s="1169"/>
      <c r="J16" s="1169"/>
      <c r="K16" s="1169"/>
      <c r="L16" s="1169"/>
      <c r="M16" s="1169"/>
      <c r="N16" s="1169"/>
      <c r="O16" s="1169"/>
      <c r="P16" s="1169"/>
      <c r="Q16" s="1169"/>
      <c r="R16" s="1169"/>
      <c r="S16" s="321">
        <f t="shared" si="0"/>
        <v>105.42857142857143</v>
      </c>
      <c r="T16" s="36">
        <f t="shared" si="7"/>
        <v>93.643957800966035</v>
      </c>
      <c r="U16" s="36">
        <f t="shared" si="7"/>
        <v>98.219196595798579</v>
      </c>
      <c r="V16" s="36">
        <f t="shared" si="7"/>
        <v>102.79443539063111</v>
      </c>
      <c r="W16" s="36">
        <f t="shared" si="8"/>
        <v>107.36967418546365</v>
      </c>
      <c r="X16" s="36">
        <f t="shared" si="8"/>
        <v>111.94491298029619</v>
      </c>
      <c r="Y16" s="36">
        <f t="shared" si="8"/>
        <v>116.52015177512872</v>
      </c>
      <c r="Z16" s="322">
        <f t="shared" si="2"/>
        <v>121.09539056996127</v>
      </c>
      <c r="AA16" s="36">
        <f t="shared" si="3"/>
        <v>-1</v>
      </c>
      <c r="AB16" s="36">
        <f t="shared" si="15"/>
        <v>-1</v>
      </c>
      <c r="AC16" s="36">
        <f t="shared" si="16"/>
        <v>-1</v>
      </c>
      <c r="AD16" s="36"/>
      <c r="AE16" s="36">
        <f t="shared" si="4"/>
        <v>59</v>
      </c>
      <c r="AF16" s="36">
        <f t="shared" si="9"/>
        <v>0</v>
      </c>
      <c r="AG16" s="36">
        <f t="shared" si="9"/>
        <v>0</v>
      </c>
      <c r="AH16" s="36">
        <f t="shared" si="10"/>
        <v>10.840684210526319</v>
      </c>
      <c r="AI16" s="36">
        <f t="shared" si="11"/>
        <v>44.368421052631582</v>
      </c>
      <c r="AJ16" s="36">
        <f t="shared" si="12"/>
        <v>77.896157894736845</v>
      </c>
      <c r="AK16" s="36">
        <f t="shared" si="13"/>
        <v>111.4238947368421</v>
      </c>
      <c r="AL16" s="36">
        <f t="shared" si="14"/>
        <v>144.95163157894737</v>
      </c>
      <c r="AM16" s="36">
        <f t="shared" si="6"/>
        <v>-1</v>
      </c>
      <c r="AN16" s="36">
        <f t="shared" si="17"/>
        <v>-1</v>
      </c>
      <c r="AO16" s="36">
        <f t="shared" si="18"/>
        <v>-1</v>
      </c>
      <c r="AP16" s="707"/>
      <c r="AQ16" s="707"/>
      <c r="AR16" s="707"/>
      <c r="AS16" s="707"/>
      <c r="AT16" s="707"/>
      <c r="AU16" s="707"/>
      <c r="AV16" s="707"/>
      <c r="AW16" s="707"/>
      <c r="AX16" s="707"/>
      <c r="AY16" s="707"/>
      <c r="AZ16" s="707"/>
      <c r="BA16" s="707"/>
      <c r="BB16" s="293">
        <v>14</v>
      </c>
      <c r="BC16" s="294">
        <v>0.23499999999999999</v>
      </c>
      <c r="BD16" s="294">
        <v>0.32900000000000001</v>
      </c>
      <c r="BE16" s="294">
        <v>1.671</v>
      </c>
      <c r="BF16" s="295">
        <v>3.407</v>
      </c>
    </row>
    <row r="17" spans="1:58" ht="16.5" thickBot="1">
      <c r="A17" s="1173">
        <v>44607</v>
      </c>
      <c r="B17" s="320">
        <v>105.88888888888889</v>
      </c>
      <c r="C17" s="307">
        <v>9</v>
      </c>
      <c r="D17" s="307">
        <v>51</v>
      </c>
      <c r="E17" s="320">
        <v>15.846485765339624</v>
      </c>
      <c r="F17" s="1169"/>
      <c r="G17" s="1169"/>
      <c r="H17" s="1169"/>
      <c r="I17" s="1169"/>
      <c r="J17" s="1169"/>
      <c r="K17" s="1169"/>
      <c r="L17" s="1169"/>
      <c r="M17" s="1169"/>
      <c r="N17" s="1169"/>
      <c r="O17" s="1169"/>
      <c r="P17" s="1169"/>
      <c r="Q17" s="1169"/>
      <c r="R17" s="1169"/>
      <c r="S17" s="321">
        <f t="shared" si="0"/>
        <v>105.88888888888889</v>
      </c>
      <c r="T17" s="36">
        <f t="shared" si="7"/>
        <v>93.643957800966035</v>
      </c>
      <c r="U17" s="36">
        <f t="shared" si="7"/>
        <v>98.219196595798579</v>
      </c>
      <c r="V17" s="36">
        <f t="shared" si="7"/>
        <v>102.79443539063111</v>
      </c>
      <c r="W17" s="36">
        <f t="shared" si="8"/>
        <v>107.36967418546365</v>
      </c>
      <c r="X17" s="36">
        <f t="shared" si="8"/>
        <v>111.94491298029619</v>
      </c>
      <c r="Y17" s="36">
        <f t="shared" si="8"/>
        <v>116.52015177512872</v>
      </c>
      <c r="Z17" s="322">
        <f t="shared" si="2"/>
        <v>121.09539056996127</v>
      </c>
      <c r="AA17" s="36">
        <f t="shared" si="3"/>
        <v>-1</v>
      </c>
      <c r="AB17" s="36">
        <f t="shared" si="15"/>
        <v>-1</v>
      </c>
      <c r="AC17" s="36">
        <f t="shared" si="16"/>
        <v>-1</v>
      </c>
      <c r="AD17" s="36"/>
      <c r="AE17" s="36">
        <f t="shared" si="4"/>
        <v>51</v>
      </c>
      <c r="AF17" s="36">
        <f t="shared" si="9"/>
        <v>0</v>
      </c>
      <c r="AG17" s="36">
        <f t="shared" si="9"/>
        <v>0</v>
      </c>
      <c r="AH17" s="36">
        <f t="shared" si="10"/>
        <v>10.840684210526319</v>
      </c>
      <c r="AI17" s="36">
        <f t="shared" si="11"/>
        <v>44.368421052631582</v>
      </c>
      <c r="AJ17" s="36">
        <f t="shared" si="12"/>
        <v>77.896157894736845</v>
      </c>
      <c r="AK17" s="36">
        <f t="shared" si="13"/>
        <v>111.4238947368421</v>
      </c>
      <c r="AL17" s="36">
        <f t="shared" si="14"/>
        <v>144.95163157894737</v>
      </c>
      <c r="AM17" s="36">
        <f t="shared" si="6"/>
        <v>-1</v>
      </c>
      <c r="AN17" s="36">
        <f t="shared" si="17"/>
        <v>-1</v>
      </c>
      <c r="AO17" s="36">
        <f t="shared" si="18"/>
        <v>-1</v>
      </c>
      <c r="AP17" s="707"/>
      <c r="AQ17" s="707"/>
      <c r="AR17" s="707"/>
      <c r="AS17" s="707"/>
      <c r="AT17" s="707"/>
      <c r="AU17" s="707"/>
      <c r="AV17" s="707"/>
      <c r="AW17" s="707"/>
      <c r="AX17" s="707"/>
      <c r="AY17" s="707"/>
      <c r="AZ17" s="707"/>
      <c r="BA17" s="707"/>
      <c r="BB17" s="293">
        <v>15</v>
      </c>
      <c r="BC17" s="294">
        <v>0.223</v>
      </c>
      <c r="BD17" s="294">
        <v>0.34799999999999998</v>
      </c>
      <c r="BE17" s="294">
        <v>1.6519999999999999</v>
      </c>
      <c r="BF17" s="295">
        <v>3.472</v>
      </c>
    </row>
    <row r="18" spans="1:58" ht="16.5" thickBot="1">
      <c r="A18" s="1173">
        <v>44608</v>
      </c>
      <c r="B18" s="320">
        <v>98</v>
      </c>
      <c r="C18" s="307">
        <v>8</v>
      </c>
      <c r="D18" s="307">
        <v>95</v>
      </c>
      <c r="E18" s="320">
        <v>32.38165265349236</v>
      </c>
      <c r="F18" s="1169"/>
      <c r="G18" s="1169"/>
      <c r="H18" s="1169"/>
      <c r="I18" s="1169"/>
      <c r="J18" s="1169"/>
      <c r="K18" s="1169"/>
      <c r="L18" s="1169"/>
      <c r="M18" s="1169"/>
      <c r="N18" s="1169"/>
      <c r="O18" s="1169"/>
      <c r="P18" s="1169"/>
      <c r="Q18" s="1169"/>
      <c r="R18" s="1169"/>
      <c r="S18" s="321">
        <f t="shared" si="0"/>
        <v>98</v>
      </c>
      <c r="T18" s="36">
        <f t="shared" si="7"/>
        <v>93.643957800966035</v>
      </c>
      <c r="U18" s="36">
        <f t="shared" si="7"/>
        <v>98.219196595798579</v>
      </c>
      <c r="V18" s="36">
        <f t="shared" si="7"/>
        <v>102.79443539063111</v>
      </c>
      <c r="W18" s="36">
        <f t="shared" si="8"/>
        <v>107.36967418546365</v>
      </c>
      <c r="X18" s="36">
        <f t="shared" si="8"/>
        <v>111.94491298029619</v>
      </c>
      <c r="Y18" s="36">
        <f t="shared" si="8"/>
        <v>116.52015177512872</v>
      </c>
      <c r="Z18" s="322">
        <f t="shared" si="2"/>
        <v>121.09539056996127</v>
      </c>
      <c r="AA18" s="36">
        <f t="shared" si="3"/>
        <v>-1</v>
      </c>
      <c r="AB18" s="36">
        <f t="shared" si="15"/>
        <v>-1</v>
      </c>
      <c r="AC18" s="36">
        <f t="shared" si="16"/>
        <v>-1</v>
      </c>
      <c r="AD18" s="36"/>
      <c r="AE18" s="36">
        <f t="shared" si="4"/>
        <v>95</v>
      </c>
      <c r="AF18" s="36">
        <f t="shared" si="9"/>
        <v>0</v>
      </c>
      <c r="AG18" s="36">
        <f t="shared" si="9"/>
        <v>0</v>
      </c>
      <c r="AH18" s="36">
        <f t="shared" si="10"/>
        <v>10.840684210526319</v>
      </c>
      <c r="AI18" s="36">
        <f t="shared" si="11"/>
        <v>44.368421052631582</v>
      </c>
      <c r="AJ18" s="36">
        <f t="shared" si="12"/>
        <v>77.896157894736845</v>
      </c>
      <c r="AK18" s="36">
        <f t="shared" si="13"/>
        <v>111.4238947368421</v>
      </c>
      <c r="AL18" s="36">
        <f t="shared" si="14"/>
        <v>144.95163157894737</v>
      </c>
      <c r="AM18" s="36">
        <f t="shared" si="6"/>
        <v>-1</v>
      </c>
      <c r="AN18" s="36">
        <f t="shared" si="17"/>
        <v>-1</v>
      </c>
      <c r="AO18" s="36">
        <f t="shared" si="18"/>
        <v>-1</v>
      </c>
      <c r="AP18" s="707"/>
      <c r="AQ18" s="707"/>
      <c r="AR18" s="707"/>
      <c r="AS18" s="707"/>
      <c r="AT18" s="707"/>
      <c r="AU18" s="707"/>
      <c r="AV18" s="707"/>
      <c r="AW18" s="707"/>
      <c r="AX18" s="707"/>
      <c r="AY18" s="707"/>
      <c r="AZ18" s="707"/>
      <c r="BA18" s="707"/>
      <c r="BB18" s="293">
        <v>16</v>
      </c>
      <c r="BC18" s="294">
        <v>0.21199999999999999</v>
      </c>
      <c r="BD18" s="294">
        <v>0.36399999999999999</v>
      </c>
      <c r="BE18" s="294">
        <v>1.6359999999999999</v>
      </c>
      <c r="BF18" s="295">
        <v>3.532</v>
      </c>
    </row>
    <row r="19" spans="1:58" ht="16.5" thickBot="1">
      <c r="A19" s="1173">
        <v>44609</v>
      </c>
      <c r="B19" s="320">
        <v>100.625</v>
      </c>
      <c r="C19" s="307">
        <v>8</v>
      </c>
      <c r="D19" s="307">
        <v>103</v>
      </c>
      <c r="E19" s="320">
        <v>35.49220236293359</v>
      </c>
      <c r="F19" s="1169"/>
      <c r="G19" s="1169"/>
      <c r="H19" s="1169"/>
      <c r="I19" s="1169"/>
      <c r="J19" s="1169"/>
      <c r="K19" s="1169"/>
      <c r="L19" s="1169"/>
      <c r="M19" s="1169"/>
      <c r="N19" s="1169"/>
      <c r="O19" s="1169"/>
      <c r="P19" s="1169"/>
      <c r="Q19" s="1169"/>
      <c r="R19" s="1169"/>
      <c r="S19" s="321">
        <f t="shared" si="0"/>
        <v>100.625</v>
      </c>
      <c r="T19" s="36">
        <f t="shared" si="7"/>
        <v>93.643957800966035</v>
      </c>
      <c r="U19" s="36">
        <f t="shared" si="7"/>
        <v>98.219196595798579</v>
      </c>
      <c r="V19" s="36">
        <f t="shared" si="7"/>
        <v>102.79443539063111</v>
      </c>
      <c r="W19" s="36">
        <f t="shared" si="8"/>
        <v>107.36967418546365</v>
      </c>
      <c r="X19" s="36">
        <f t="shared" si="8"/>
        <v>111.94491298029619</v>
      </c>
      <c r="Y19" s="36">
        <f t="shared" si="8"/>
        <v>116.52015177512872</v>
      </c>
      <c r="Z19" s="322">
        <f t="shared" si="2"/>
        <v>121.09539056996127</v>
      </c>
      <c r="AA19" s="36">
        <f t="shared" si="3"/>
        <v>-1</v>
      </c>
      <c r="AB19" s="36">
        <f t="shared" si="15"/>
        <v>-1</v>
      </c>
      <c r="AC19" s="36">
        <f t="shared" si="16"/>
        <v>-1</v>
      </c>
      <c r="AD19" s="36"/>
      <c r="AE19" s="36">
        <f t="shared" si="4"/>
        <v>103</v>
      </c>
      <c r="AF19" s="36">
        <f t="shared" si="9"/>
        <v>0</v>
      </c>
      <c r="AG19" s="36">
        <f t="shared" si="9"/>
        <v>0</v>
      </c>
      <c r="AH19" s="36">
        <f t="shared" si="10"/>
        <v>10.840684210526319</v>
      </c>
      <c r="AI19" s="36">
        <f t="shared" si="11"/>
        <v>44.368421052631582</v>
      </c>
      <c r="AJ19" s="36">
        <f t="shared" si="12"/>
        <v>77.896157894736845</v>
      </c>
      <c r="AK19" s="36">
        <f t="shared" si="13"/>
        <v>111.4238947368421</v>
      </c>
      <c r="AL19" s="36">
        <f t="shared" si="14"/>
        <v>144.95163157894737</v>
      </c>
      <c r="AM19" s="36">
        <f t="shared" si="6"/>
        <v>-1</v>
      </c>
      <c r="AN19" s="36">
        <f t="shared" si="17"/>
        <v>-1</v>
      </c>
      <c r="AO19" s="36">
        <f t="shared" si="18"/>
        <v>-1</v>
      </c>
      <c r="AP19" s="707"/>
      <c r="AQ19" s="707"/>
      <c r="AR19" s="707"/>
      <c r="AS19" s="707"/>
      <c r="AT19" s="707"/>
      <c r="AU19" s="707"/>
      <c r="AV19" s="707"/>
      <c r="AW19" s="707"/>
      <c r="AX19" s="707"/>
      <c r="AY19" s="707"/>
      <c r="AZ19" s="707"/>
      <c r="BA19" s="707"/>
      <c r="BB19" s="293">
        <v>17</v>
      </c>
      <c r="BC19" s="294">
        <v>0.20300000000000001</v>
      </c>
      <c r="BD19" s="294">
        <v>0.379</v>
      </c>
      <c r="BE19" s="294">
        <v>1.621</v>
      </c>
      <c r="BF19" s="295">
        <v>3.5880000000000001</v>
      </c>
    </row>
    <row r="20" spans="1:58" ht="16.5" thickBot="1">
      <c r="A20" s="1173">
        <v>44610</v>
      </c>
      <c r="B20" s="320">
        <v>111.28571428571429</v>
      </c>
      <c r="C20" s="307">
        <v>7</v>
      </c>
      <c r="D20" s="307">
        <v>17</v>
      </c>
      <c r="E20" s="320">
        <v>5.8227795686220096</v>
      </c>
      <c r="F20" s="707"/>
      <c r="G20" s="707"/>
      <c r="H20" s="707"/>
      <c r="I20" s="707"/>
      <c r="J20" s="707"/>
      <c r="K20" s="707"/>
      <c r="L20" s="707"/>
      <c r="M20" s="707"/>
      <c r="N20" s="707"/>
      <c r="O20" s="707"/>
      <c r="P20" s="707"/>
      <c r="Q20" s="707"/>
      <c r="R20" s="707"/>
      <c r="S20" s="321">
        <f t="shared" si="0"/>
        <v>111.28571428571429</v>
      </c>
      <c r="T20" s="36">
        <f t="shared" si="7"/>
        <v>93.643957800966035</v>
      </c>
      <c r="U20" s="36">
        <f t="shared" si="7"/>
        <v>98.219196595798579</v>
      </c>
      <c r="V20" s="36">
        <f t="shared" si="7"/>
        <v>102.79443539063111</v>
      </c>
      <c r="W20" s="36">
        <f t="shared" si="8"/>
        <v>107.36967418546365</v>
      </c>
      <c r="X20" s="36">
        <f t="shared" si="8"/>
        <v>111.94491298029619</v>
      </c>
      <c r="Y20" s="36">
        <f t="shared" si="8"/>
        <v>116.52015177512872</v>
      </c>
      <c r="Z20" s="322">
        <f t="shared" si="2"/>
        <v>121.09539056996127</v>
      </c>
      <c r="AA20" s="36">
        <f t="shared" si="3"/>
        <v>-1</v>
      </c>
      <c r="AB20" s="36">
        <f t="shared" si="15"/>
        <v>-1</v>
      </c>
      <c r="AC20" s="36">
        <f t="shared" si="16"/>
        <v>-1</v>
      </c>
      <c r="AD20" s="36"/>
      <c r="AE20" s="36">
        <f t="shared" si="4"/>
        <v>17</v>
      </c>
      <c r="AF20" s="36">
        <f t="shared" si="9"/>
        <v>0</v>
      </c>
      <c r="AG20" s="36">
        <f t="shared" si="9"/>
        <v>0</v>
      </c>
      <c r="AH20" s="36">
        <f t="shared" si="10"/>
        <v>10.840684210526319</v>
      </c>
      <c r="AI20" s="36">
        <f t="shared" si="11"/>
        <v>44.368421052631582</v>
      </c>
      <c r="AJ20" s="36">
        <f t="shared" si="12"/>
        <v>77.896157894736845</v>
      </c>
      <c r="AK20" s="36">
        <f t="shared" si="13"/>
        <v>111.4238947368421</v>
      </c>
      <c r="AL20" s="36">
        <f t="shared" si="14"/>
        <v>144.95163157894737</v>
      </c>
      <c r="AM20" s="36">
        <f t="shared" si="6"/>
        <v>-1</v>
      </c>
      <c r="AN20" s="36">
        <f t="shared" si="17"/>
        <v>-1</v>
      </c>
      <c r="AO20" s="36">
        <f t="shared" si="18"/>
        <v>-1</v>
      </c>
      <c r="AP20" s="707"/>
      <c r="AQ20" s="707"/>
      <c r="AR20" s="707"/>
      <c r="AS20" s="707"/>
      <c r="AT20" s="707"/>
      <c r="AU20" s="707"/>
      <c r="AV20" s="707"/>
      <c r="AW20" s="707"/>
      <c r="AX20" s="707"/>
      <c r="AY20" s="707"/>
      <c r="AZ20" s="707"/>
      <c r="BA20" s="707"/>
      <c r="BB20" s="293">
        <v>18</v>
      </c>
      <c r="BC20" s="294">
        <v>0.19400000000000001</v>
      </c>
      <c r="BD20" s="294">
        <v>0.39200000000000002</v>
      </c>
      <c r="BE20" s="294">
        <v>1.6080000000000001</v>
      </c>
      <c r="BF20" s="295">
        <v>3.64</v>
      </c>
    </row>
    <row r="21" spans="1:58" ht="16.5" thickBot="1">
      <c r="A21" s="1173">
        <v>44611</v>
      </c>
      <c r="B21" s="320">
        <v>105.66666666666667</v>
      </c>
      <c r="C21" s="307">
        <v>9</v>
      </c>
      <c r="D21" s="307">
        <v>46</v>
      </c>
      <c r="E21" s="320">
        <v>14.620191517213446</v>
      </c>
      <c r="F21" s="707"/>
      <c r="G21" s="707"/>
      <c r="H21" s="707"/>
      <c r="I21" s="707"/>
      <c r="J21" s="707"/>
      <c r="K21" s="707"/>
      <c r="L21" s="707"/>
      <c r="M21" s="707"/>
      <c r="N21" s="707"/>
      <c r="O21" s="707"/>
      <c r="P21" s="707"/>
      <c r="Q21" s="707"/>
      <c r="R21" s="707"/>
      <c r="S21" s="321">
        <f t="shared" si="0"/>
        <v>105.66666666666667</v>
      </c>
      <c r="T21" s="36">
        <f t="shared" si="7"/>
        <v>93.643957800966035</v>
      </c>
      <c r="U21" s="36">
        <f t="shared" si="7"/>
        <v>98.219196595798579</v>
      </c>
      <c r="V21" s="36">
        <f t="shared" si="7"/>
        <v>102.79443539063111</v>
      </c>
      <c r="W21" s="36">
        <f t="shared" si="8"/>
        <v>107.36967418546365</v>
      </c>
      <c r="X21" s="36">
        <f t="shared" si="8"/>
        <v>111.94491298029619</v>
      </c>
      <c r="Y21" s="36">
        <f t="shared" si="8"/>
        <v>116.52015177512872</v>
      </c>
      <c r="Z21" s="322">
        <f t="shared" si="2"/>
        <v>121.09539056996127</v>
      </c>
      <c r="AA21" s="36">
        <f t="shared" ref="AA21:AA38" si="19">IF(OR(S21&gt;Z21,S21&lt;T21),S21,-1)</f>
        <v>-1</v>
      </c>
      <c r="AB21" s="36">
        <f t="shared" ref="AB21:AB38" si="20">IF(IF(S20&gt;Y20,1,0)+IF(S21&gt;Y21,1,0)+IF(S22&gt;Y22,1,0)+IF(S20&lt;U20,1,0)+IF(S21&lt;U21,1,0)+IF(S22&lt;U22,1,0)&gt;=2,S21,-1)</f>
        <v>-1</v>
      </c>
      <c r="AC21" s="36">
        <f t="shared" ref="AC21:AC38" si="21">IF(IF(S19&lt;V19,1,0)+IF(S21&lt;V21,1,0)+IF(S22&lt;V22,1,0)+IF(S23&lt;V23,1,0)+IF(S20&lt;V20,1,0)+IF(S19&gt;X19,1,0)+IF(S20&gt;X20,1,0)+IF(S21&gt;X21,1,0)+IF(S22&gt;X22,1,0)+IF(S23&gt;X23,1,0)&gt;4,S21,-1)</f>
        <v>-1</v>
      </c>
      <c r="AD21" s="36"/>
      <c r="AE21" s="36">
        <f t="shared" si="4"/>
        <v>46</v>
      </c>
      <c r="AF21" s="36">
        <f t="shared" si="9"/>
        <v>0</v>
      </c>
      <c r="AG21" s="36">
        <f t="shared" si="9"/>
        <v>0</v>
      </c>
      <c r="AH21" s="36">
        <f t="shared" si="10"/>
        <v>10.840684210526319</v>
      </c>
      <c r="AI21" s="36">
        <f t="shared" si="11"/>
        <v>44.368421052631582</v>
      </c>
      <c r="AJ21" s="36">
        <f t="shared" si="12"/>
        <v>77.896157894736845</v>
      </c>
      <c r="AK21" s="36">
        <f t="shared" si="13"/>
        <v>111.4238947368421</v>
      </c>
      <c r="AL21" s="36">
        <f t="shared" si="14"/>
        <v>144.95163157894737</v>
      </c>
      <c r="AM21" s="36">
        <f t="shared" si="6"/>
        <v>-1</v>
      </c>
      <c r="AN21" s="36">
        <f t="shared" si="17"/>
        <v>-1</v>
      </c>
      <c r="AO21" s="36">
        <f t="shared" si="18"/>
        <v>-1</v>
      </c>
      <c r="AP21" s="707"/>
      <c r="AQ21" s="707"/>
      <c r="AR21" s="707"/>
      <c r="AS21" s="707"/>
      <c r="AT21" s="707"/>
      <c r="AU21" s="707"/>
      <c r="AV21" s="707"/>
      <c r="AW21" s="707"/>
      <c r="AX21" s="707"/>
      <c r="AY21" s="707"/>
      <c r="AZ21" s="707"/>
      <c r="BA21" s="707"/>
      <c r="BB21" s="293">
        <v>19</v>
      </c>
      <c r="BC21" s="294">
        <v>0.187</v>
      </c>
      <c r="BD21" s="294">
        <v>0.40400000000000003</v>
      </c>
      <c r="BE21" s="294">
        <v>1.5960000000000001</v>
      </c>
      <c r="BF21" s="295">
        <v>3.6890000000000001</v>
      </c>
    </row>
    <row r="22" spans="1:58" ht="16.5" thickBot="1">
      <c r="A22" s="1173"/>
      <c r="B22" s="323"/>
      <c r="C22" s="324"/>
      <c r="D22" s="307"/>
      <c r="E22" s="307"/>
      <c r="F22" s="707"/>
      <c r="G22" s="707"/>
      <c r="H22" s="707"/>
      <c r="I22" s="707"/>
      <c r="J22" s="707"/>
      <c r="K22" s="707"/>
      <c r="L22" s="707"/>
      <c r="M22" s="707"/>
      <c r="N22" s="707"/>
      <c r="O22" s="707"/>
      <c r="P22" s="707"/>
      <c r="Q22" s="707"/>
      <c r="R22" s="707"/>
      <c r="S22" s="321" t="str">
        <f t="shared" si="0"/>
        <v/>
      </c>
      <c r="T22" s="36">
        <f t="shared" si="7"/>
        <v>93.643957800966035</v>
      </c>
      <c r="U22" s="36">
        <f t="shared" si="7"/>
        <v>98.219196595798579</v>
      </c>
      <c r="V22" s="36">
        <f t="shared" si="7"/>
        <v>102.79443539063111</v>
      </c>
      <c r="W22" s="36">
        <f t="shared" si="8"/>
        <v>107.36967418546365</v>
      </c>
      <c r="X22" s="36">
        <f t="shared" si="8"/>
        <v>111.94491298029619</v>
      </c>
      <c r="Y22" s="36">
        <f t="shared" si="8"/>
        <v>116.52015177512872</v>
      </c>
      <c r="Z22" s="322">
        <f t="shared" si="2"/>
        <v>121.09539056996127</v>
      </c>
      <c r="AA22" s="36" t="str">
        <f t="shared" si="19"/>
        <v/>
      </c>
      <c r="AB22" s="36" t="str">
        <f t="shared" si="20"/>
        <v/>
      </c>
      <c r="AC22" s="36">
        <f t="shared" si="21"/>
        <v>-1</v>
      </c>
      <c r="AD22" s="36"/>
      <c r="AE22" s="36" t="str">
        <f t="shared" si="4"/>
        <v/>
      </c>
      <c r="AF22" s="36">
        <f t="shared" si="9"/>
        <v>0</v>
      </c>
      <c r="AG22" s="36">
        <f t="shared" si="9"/>
        <v>0</v>
      </c>
      <c r="AH22" s="36">
        <f t="shared" si="10"/>
        <v>10.840684210526319</v>
      </c>
      <c r="AI22" s="36">
        <f t="shared" si="11"/>
        <v>44.368421052631582</v>
      </c>
      <c r="AJ22" s="36">
        <f t="shared" si="12"/>
        <v>77.896157894736845</v>
      </c>
      <c r="AK22" s="36">
        <f t="shared" si="13"/>
        <v>111.4238947368421</v>
      </c>
      <c r="AL22" s="36">
        <f t="shared" si="14"/>
        <v>144.95163157894737</v>
      </c>
      <c r="AM22" s="36" t="str">
        <f t="shared" si="6"/>
        <v/>
      </c>
      <c r="AN22" s="36" t="str">
        <f t="shared" si="17"/>
        <v/>
      </c>
      <c r="AO22" s="36">
        <f t="shared" si="18"/>
        <v>-1</v>
      </c>
      <c r="AP22" s="707"/>
      <c r="AQ22" s="707"/>
      <c r="AR22" s="707"/>
      <c r="AS22" s="707"/>
      <c r="AT22" s="707"/>
      <c r="AU22" s="707"/>
      <c r="AV22" s="707"/>
      <c r="AW22" s="707"/>
      <c r="AX22" s="707"/>
      <c r="AY22" s="707"/>
      <c r="AZ22" s="707"/>
      <c r="BA22" s="707"/>
      <c r="BB22" s="293">
        <v>20</v>
      </c>
      <c r="BC22" s="294">
        <v>0.18</v>
      </c>
      <c r="BD22" s="294">
        <v>0.41399999999999998</v>
      </c>
      <c r="BE22" s="294">
        <v>1.5860000000000001</v>
      </c>
      <c r="BF22" s="295">
        <v>3.7349999999999999</v>
      </c>
    </row>
    <row r="23" spans="1:58" ht="16.5" thickBot="1">
      <c r="A23" s="1173"/>
      <c r="B23" s="323"/>
      <c r="C23" s="324"/>
      <c r="D23" s="307"/>
      <c r="E23" s="307"/>
      <c r="F23" s="707"/>
      <c r="G23" s="707"/>
      <c r="H23" s="707"/>
      <c r="I23" s="707"/>
      <c r="J23" s="707"/>
      <c r="K23" s="707"/>
      <c r="L23" s="707"/>
      <c r="M23" s="707"/>
      <c r="N23" s="707"/>
      <c r="O23" s="707"/>
      <c r="P23" s="707"/>
      <c r="Q23" s="707"/>
      <c r="R23" s="707"/>
      <c r="S23" s="321" t="str">
        <f t="shared" si="0"/>
        <v/>
      </c>
      <c r="T23" s="36">
        <f t="shared" si="7"/>
        <v>93.643957800966035</v>
      </c>
      <c r="U23" s="36">
        <f t="shared" si="7"/>
        <v>98.219196595798579</v>
      </c>
      <c r="V23" s="36">
        <f t="shared" si="7"/>
        <v>102.79443539063111</v>
      </c>
      <c r="W23" s="36">
        <f t="shared" si="8"/>
        <v>107.36967418546365</v>
      </c>
      <c r="X23" s="36">
        <f t="shared" si="8"/>
        <v>111.94491298029619</v>
      </c>
      <c r="Y23" s="36">
        <f t="shared" si="8"/>
        <v>116.52015177512872</v>
      </c>
      <c r="Z23" s="322">
        <f t="shared" si="2"/>
        <v>121.09539056996127</v>
      </c>
      <c r="AA23" s="36" t="str">
        <f t="shared" si="19"/>
        <v/>
      </c>
      <c r="AB23" s="36" t="str">
        <f t="shared" si="20"/>
        <v/>
      </c>
      <c r="AC23" s="36">
        <f t="shared" si="21"/>
        <v>-1</v>
      </c>
      <c r="AD23" s="36"/>
      <c r="AE23" s="36" t="str">
        <f t="shared" si="4"/>
        <v/>
      </c>
      <c r="AF23" s="36">
        <f t="shared" si="9"/>
        <v>0</v>
      </c>
      <c r="AG23" s="36">
        <f t="shared" si="9"/>
        <v>0</v>
      </c>
      <c r="AH23" s="36">
        <f t="shared" si="10"/>
        <v>10.840684210526319</v>
      </c>
      <c r="AI23" s="36">
        <f t="shared" si="11"/>
        <v>44.368421052631582</v>
      </c>
      <c r="AJ23" s="36">
        <f t="shared" si="12"/>
        <v>77.896157894736845</v>
      </c>
      <c r="AK23" s="36">
        <f t="shared" si="13"/>
        <v>111.4238947368421</v>
      </c>
      <c r="AL23" s="36">
        <f t="shared" si="14"/>
        <v>144.95163157894737</v>
      </c>
      <c r="AM23" s="36" t="str">
        <f t="shared" si="6"/>
        <v/>
      </c>
      <c r="AN23" s="36" t="str">
        <f t="shared" si="17"/>
        <v/>
      </c>
      <c r="AO23" s="36">
        <f t="shared" si="18"/>
        <v>-1</v>
      </c>
      <c r="AP23" s="707"/>
      <c r="AQ23" s="707"/>
      <c r="AR23" s="707"/>
      <c r="AS23" s="707"/>
      <c r="AT23" s="707"/>
      <c r="AU23" s="707"/>
      <c r="AV23" s="707"/>
      <c r="AW23" s="707"/>
      <c r="AX23" s="707"/>
      <c r="AY23" s="707"/>
      <c r="AZ23" s="707"/>
      <c r="BA23" s="707"/>
      <c r="BB23" s="293">
        <v>21</v>
      </c>
      <c r="BC23" s="294">
        <v>0.17299999999999999</v>
      </c>
      <c r="BD23" s="294">
        <v>0.42499999999999999</v>
      </c>
      <c r="BE23" s="294">
        <v>1.575</v>
      </c>
      <c r="BF23" s="295">
        <v>3.778</v>
      </c>
    </row>
    <row r="24" spans="1:58" ht="16.5" thickBot="1">
      <c r="A24" s="1173"/>
      <c r="B24" s="323"/>
      <c r="C24" s="324"/>
      <c r="D24" s="307"/>
      <c r="E24" s="307"/>
      <c r="F24" s="707"/>
      <c r="G24" s="707"/>
      <c r="H24" s="707"/>
      <c r="I24" s="707"/>
      <c r="J24" s="707"/>
      <c r="K24" s="707"/>
      <c r="L24" s="707"/>
      <c r="M24" s="707"/>
      <c r="N24" s="707"/>
      <c r="O24" s="707"/>
      <c r="P24" s="707"/>
      <c r="Q24" s="707"/>
      <c r="R24" s="707"/>
      <c r="S24" s="321" t="str">
        <f t="shared" si="0"/>
        <v/>
      </c>
      <c r="T24" s="36">
        <f t="shared" si="7"/>
        <v>93.643957800966035</v>
      </c>
      <c r="U24" s="36">
        <f t="shared" si="7"/>
        <v>98.219196595798579</v>
      </c>
      <c r="V24" s="36">
        <f t="shared" si="7"/>
        <v>102.79443539063111</v>
      </c>
      <c r="W24" s="36">
        <f t="shared" si="8"/>
        <v>107.36967418546365</v>
      </c>
      <c r="X24" s="36">
        <f t="shared" si="8"/>
        <v>111.94491298029619</v>
      </c>
      <c r="Y24" s="36">
        <f t="shared" si="8"/>
        <v>116.52015177512872</v>
      </c>
      <c r="Z24" s="322">
        <f t="shared" si="2"/>
        <v>121.09539056996127</v>
      </c>
      <c r="AA24" s="36" t="str">
        <f t="shared" si="19"/>
        <v/>
      </c>
      <c r="AB24" s="36" t="str">
        <f t="shared" si="20"/>
        <v/>
      </c>
      <c r="AC24" s="36" t="str">
        <f t="shared" si="21"/>
        <v/>
      </c>
      <c r="AD24" s="36"/>
      <c r="AE24" s="36" t="str">
        <f t="shared" si="4"/>
        <v/>
      </c>
      <c r="AF24" s="36">
        <f t="shared" si="9"/>
        <v>0</v>
      </c>
      <c r="AG24" s="36">
        <f t="shared" si="9"/>
        <v>0</v>
      </c>
      <c r="AH24" s="36">
        <f t="shared" si="10"/>
        <v>10.840684210526319</v>
      </c>
      <c r="AI24" s="36">
        <f t="shared" si="11"/>
        <v>44.368421052631582</v>
      </c>
      <c r="AJ24" s="36">
        <f t="shared" si="12"/>
        <v>77.896157894736845</v>
      </c>
      <c r="AK24" s="36">
        <f t="shared" si="13"/>
        <v>111.4238947368421</v>
      </c>
      <c r="AL24" s="36">
        <f t="shared" si="14"/>
        <v>144.95163157894737</v>
      </c>
      <c r="AM24" s="36" t="str">
        <f t="shared" si="6"/>
        <v/>
      </c>
      <c r="AN24" s="36" t="str">
        <f t="shared" si="17"/>
        <v/>
      </c>
      <c r="AO24" s="36" t="str">
        <f t="shared" si="18"/>
        <v/>
      </c>
      <c r="AP24" s="707"/>
      <c r="AQ24" s="707"/>
      <c r="AR24" s="707"/>
      <c r="AS24" s="707"/>
      <c r="AT24" s="707"/>
      <c r="AU24" s="707"/>
      <c r="AV24" s="707"/>
      <c r="AW24" s="707"/>
      <c r="AX24" s="707"/>
      <c r="AY24" s="707"/>
      <c r="AZ24" s="707"/>
      <c r="BA24" s="707"/>
      <c r="BB24" s="293">
        <v>22</v>
      </c>
      <c r="BC24" s="294">
        <v>0.16700000000000001</v>
      </c>
      <c r="BD24" s="294">
        <v>0.434</v>
      </c>
      <c r="BE24" s="294">
        <v>1.5660000000000001</v>
      </c>
      <c r="BF24" s="295">
        <v>3.819</v>
      </c>
    </row>
    <row r="25" spans="1:58" ht="16.5" thickBot="1">
      <c r="A25" s="1173"/>
      <c r="B25" s="323"/>
      <c r="C25" s="324"/>
      <c r="D25" s="307"/>
      <c r="E25" s="307"/>
      <c r="F25" s="707"/>
      <c r="G25" s="707"/>
      <c r="H25" s="707"/>
      <c r="I25" s="707"/>
      <c r="J25" s="707"/>
      <c r="K25" s="707"/>
      <c r="L25" s="707"/>
      <c r="M25" s="707"/>
      <c r="N25" s="707"/>
      <c r="O25" s="707"/>
      <c r="P25" s="707"/>
      <c r="Q25" s="707"/>
      <c r="R25" s="707"/>
      <c r="S25" s="321" t="str">
        <f t="shared" si="0"/>
        <v/>
      </c>
      <c r="T25" s="36">
        <f t="shared" si="7"/>
        <v>93.643957800966035</v>
      </c>
      <c r="U25" s="36">
        <f t="shared" si="7"/>
        <v>98.219196595798579</v>
      </c>
      <c r="V25" s="36">
        <f t="shared" si="7"/>
        <v>102.79443539063111</v>
      </c>
      <c r="W25" s="36">
        <f t="shared" si="8"/>
        <v>107.36967418546365</v>
      </c>
      <c r="X25" s="36">
        <f t="shared" si="8"/>
        <v>111.94491298029619</v>
      </c>
      <c r="Y25" s="36">
        <f t="shared" si="8"/>
        <v>116.52015177512872</v>
      </c>
      <c r="Z25" s="322">
        <f t="shared" si="2"/>
        <v>121.09539056996127</v>
      </c>
      <c r="AA25" s="36" t="str">
        <f t="shared" si="19"/>
        <v/>
      </c>
      <c r="AB25" s="36" t="str">
        <f t="shared" si="20"/>
        <v/>
      </c>
      <c r="AC25" s="36" t="str">
        <f t="shared" si="21"/>
        <v/>
      </c>
      <c r="AD25" s="36"/>
      <c r="AE25" s="36" t="str">
        <f t="shared" si="4"/>
        <v/>
      </c>
      <c r="AF25" s="36">
        <f t="shared" si="9"/>
        <v>0</v>
      </c>
      <c r="AG25" s="36">
        <f t="shared" si="9"/>
        <v>0</v>
      </c>
      <c r="AH25" s="36">
        <f t="shared" si="10"/>
        <v>10.840684210526319</v>
      </c>
      <c r="AI25" s="36">
        <f t="shared" si="11"/>
        <v>44.368421052631582</v>
      </c>
      <c r="AJ25" s="36">
        <f t="shared" si="12"/>
        <v>77.896157894736845</v>
      </c>
      <c r="AK25" s="36">
        <f t="shared" si="13"/>
        <v>111.4238947368421</v>
      </c>
      <c r="AL25" s="36">
        <f t="shared" si="14"/>
        <v>144.95163157894737</v>
      </c>
      <c r="AM25" s="36" t="str">
        <f t="shared" si="6"/>
        <v/>
      </c>
      <c r="AN25" s="36" t="str">
        <f t="shared" si="17"/>
        <v/>
      </c>
      <c r="AO25" s="36" t="str">
        <f t="shared" si="18"/>
        <v/>
      </c>
      <c r="AP25" s="707"/>
      <c r="AQ25" s="707"/>
      <c r="AR25" s="707"/>
      <c r="AS25" s="707"/>
      <c r="AT25" s="707"/>
      <c r="AU25" s="707"/>
      <c r="AV25" s="707"/>
      <c r="AW25" s="707"/>
      <c r="AX25" s="707"/>
      <c r="AY25" s="707"/>
      <c r="AZ25" s="707"/>
      <c r="BA25" s="707"/>
      <c r="BB25" s="293">
        <v>23</v>
      </c>
      <c r="BC25" s="294">
        <v>0.16200000000000001</v>
      </c>
      <c r="BD25" s="294">
        <v>0.443</v>
      </c>
      <c r="BE25" s="294">
        <v>1.5569999999999999</v>
      </c>
      <c r="BF25" s="295">
        <v>3.8580000000000001</v>
      </c>
    </row>
    <row r="26" spans="1:58" ht="16.5" thickBot="1">
      <c r="A26" s="1173"/>
      <c r="B26" s="323"/>
      <c r="C26" s="324"/>
      <c r="D26" s="307"/>
      <c r="E26" s="307"/>
      <c r="F26" s="707"/>
      <c r="G26" s="707"/>
      <c r="H26" s="707"/>
      <c r="I26" s="707"/>
      <c r="J26" s="707"/>
      <c r="K26" s="707"/>
      <c r="L26" s="707"/>
      <c r="M26" s="707"/>
      <c r="N26" s="707"/>
      <c r="O26" s="707"/>
      <c r="P26" s="707"/>
      <c r="Q26" s="707"/>
      <c r="R26" s="707"/>
      <c r="S26" s="321" t="str">
        <f t="shared" si="0"/>
        <v/>
      </c>
      <c r="T26" s="36">
        <f t="shared" si="7"/>
        <v>93.643957800966035</v>
      </c>
      <c r="U26" s="36">
        <f t="shared" si="7"/>
        <v>98.219196595798579</v>
      </c>
      <c r="V26" s="36">
        <f t="shared" si="7"/>
        <v>102.79443539063111</v>
      </c>
      <c r="W26" s="36">
        <f t="shared" si="8"/>
        <v>107.36967418546365</v>
      </c>
      <c r="X26" s="36">
        <f t="shared" si="8"/>
        <v>111.94491298029619</v>
      </c>
      <c r="Y26" s="36">
        <f t="shared" si="8"/>
        <v>116.52015177512872</v>
      </c>
      <c r="Z26" s="322">
        <f t="shared" si="2"/>
        <v>121.09539056996127</v>
      </c>
      <c r="AA26" s="36" t="str">
        <f t="shared" si="19"/>
        <v/>
      </c>
      <c r="AB26" s="36" t="str">
        <f t="shared" si="20"/>
        <v/>
      </c>
      <c r="AC26" s="36" t="str">
        <f t="shared" si="21"/>
        <v/>
      </c>
      <c r="AD26" s="36"/>
      <c r="AE26" s="36" t="str">
        <f t="shared" si="4"/>
        <v/>
      </c>
      <c r="AF26" s="36">
        <f t="shared" si="9"/>
        <v>0</v>
      </c>
      <c r="AG26" s="36">
        <f t="shared" si="9"/>
        <v>0</v>
      </c>
      <c r="AH26" s="36">
        <f t="shared" si="10"/>
        <v>10.840684210526319</v>
      </c>
      <c r="AI26" s="36">
        <f t="shared" si="11"/>
        <v>44.368421052631582</v>
      </c>
      <c r="AJ26" s="36">
        <f t="shared" si="12"/>
        <v>77.896157894736845</v>
      </c>
      <c r="AK26" s="36">
        <f t="shared" si="13"/>
        <v>111.4238947368421</v>
      </c>
      <c r="AL26" s="36">
        <f t="shared" si="14"/>
        <v>144.95163157894737</v>
      </c>
      <c r="AM26" s="36" t="str">
        <f t="shared" si="6"/>
        <v/>
      </c>
      <c r="AN26" s="36" t="str">
        <f t="shared" si="17"/>
        <v/>
      </c>
      <c r="AO26" s="36" t="str">
        <f t="shared" si="18"/>
        <v/>
      </c>
      <c r="AP26" s="707"/>
      <c r="AQ26" s="707"/>
      <c r="AR26" s="707"/>
      <c r="AS26" s="707"/>
      <c r="AT26" s="707"/>
      <c r="AU26" s="707"/>
      <c r="AV26" s="707"/>
      <c r="AW26" s="707"/>
      <c r="AX26" s="707"/>
      <c r="AY26" s="707"/>
      <c r="AZ26" s="707"/>
      <c r="BA26" s="707"/>
      <c r="BB26" s="293">
        <v>24</v>
      </c>
      <c r="BC26" s="294">
        <v>0.157</v>
      </c>
      <c r="BD26" s="294">
        <v>0.45200000000000001</v>
      </c>
      <c r="BE26" s="294">
        <v>1.548</v>
      </c>
      <c r="BF26" s="295">
        <v>3.895</v>
      </c>
    </row>
    <row r="27" spans="1:58">
      <c r="A27" s="1173"/>
      <c r="B27" s="323"/>
      <c r="C27" s="324"/>
      <c r="D27" s="307"/>
      <c r="E27" s="307"/>
      <c r="F27" s="707"/>
      <c r="G27" s="707"/>
      <c r="H27" s="707"/>
      <c r="I27" s="707"/>
      <c r="J27" s="707"/>
      <c r="K27" s="707"/>
      <c r="L27" s="707"/>
      <c r="M27" s="707"/>
      <c r="N27" s="707"/>
      <c r="O27" s="707"/>
      <c r="P27" s="707"/>
      <c r="Q27" s="707"/>
      <c r="R27" s="707"/>
      <c r="S27" s="321" t="str">
        <f t="shared" si="0"/>
        <v/>
      </c>
      <c r="T27" s="36">
        <f t="shared" si="7"/>
        <v>93.643957800966035</v>
      </c>
      <c r="U27" s="36">
        <f t="shared" si="7"/>
        <v>98.219196595798579</v>
      </c>
      <c r="V27" s="36">
        <f t="shared" si="7"/>
        <v>102.79443539063111</v>
      </c>
      <c r="W27" s="36">
        <f t="shared" si="8"/>
        <v>107.36967418546365</v>
      </c>
      <c r="X27" s="36">
        <f t="shared" si="8"/>
        <v>111.94491298029619</v>
      </c>
      <c r="Y27" s="36">
        <f t="shared" si="8"/>
        <v>116.52015177512872</v>
      </c>
      <c r="Z27" s="322">
        <f t="shared" si="2"/>
        <v>121.09539056996127</v>
      </c>
      <c r="AA27" s="36" t="str">
        <f t="shared" si="19"/>
        <v/>
      </c>
      <c r="AB27" s="36" t="str">
        <f t="shared" si="20"/>
        <v/>
      </c>
      <c r="AC27" s="36" t="str">
        <f t="shared" si="21"/>
        <v/>
      </c>
      <c r="AD27" s="36"/>
      <c r="AE27" s="36" t="str">
        <f t="shared" si="4"/>
        <v/>
      </c>
      <c r="AF27" s="36">
        <f t="shared" si="9"/>
        <v>0</v>
      </c>
      <c r="AG27" s="36">
        <f t="shared" si="9"/>
        <v>0</v>
      </c>
      <c r="AH27" s="36">
        <f t="shared" si="10"/>
        <v>10.840684210526319</v>
      </c>
      <c r="AI27" s="36">
        <f t="shared" si="11"/>
        <v>44.368421052631582</v>
      </c>
      <c r="AJ27" s="36">
        <f t="shared" si="12"/>
        <v>77.896157894736845</v>
      </c>
      <c r="AK27" s="36">
        <f t="shared" si="13"/>
        <v>111.4238947368421</v>
      </c>
      <c r="AL27" s="36">
        <f t="shared" si="14"/>
        <v>144.95163157894737</v>
      </c>
      <c r="AM27" s="36" t="str">
        <f t="shared" si="6"/>
        <v/>
      </c>
      <c r="AN27" s="36" t="str">
        <f t="shared" si="17"/>
        <v/>
      </c>
      <c r="AO27" s="36" t="str">
        <f t="shared" si="18"/>
        <v/>
      </c>
      <c r="AP27" s="707"/>
      <c r="AQ27" s="707"/>
      <c r="AR27" s="707"/>
      <c r="AS27" s="707"/>
      <c r="AT27" s="707"/>
      <c r="AU27" s="707"/>
      <c r="AV27" s="707"/>
      <c r="AW27" s="707"/>
      <c r="AX27" s="707"/>
      <c r="AY27" s="707"/>
      <c r="AZ27" s="707"/>
      <c r="BA27" s="707"/>
      <c r="BB27" s="296">
        <v>25</v>
      </c>
      <c r="BC27" s="297">
        <v>0.153</v>
      </c>
      <c r="BD27" s="297">
        <v>0.45900000000000002</v>
      </c>
      <c r="BE27" s="297">
        <v>1.5409999999999999</v>
      </c>
      <c r="BF27" s="298">
        <v>3.931</v>
      </c>
    </row>
    <row r="28" spans="1:58">
      <c r="A28" s="1173"/>
      <c r="B28" s="323"/>
      <c r="C28" s="324"/>
      <c r="D28" s="307"/>
      <c r="E28" s="307"/>
      <c r="F28" s="707"/>
      <c r="G28" s="707"/>
      <c r="H28" s="707"/>
      <c r="I28" s="707"/>
      <c r="J28" s="707"/>
      <c r="K28" s="707"/>
      <c r="L28" s="707"/>
      <c r="M28" s="707"/>
      <c r="N28" s="707"/>
      <c r="O28" s="707"/>
      <c r="P28" s="707"/>
      <c r="Q28" s="707"/>
      <c r="R28" s="707"/>
      <c r="S28" s="321" t="str">
        <f t="shared" si="0"/>
        <v/>
      </c>
      <c r="T28" s="36">
        <f t="shared" si="7"/>
        <v>93.643957800966035</v>
      </c>
      <c r="U28" s="36">
        <f t="shared" si="7"/>
        <v>98.219196595798579</v>
      </c>
      <c r="V28" s="36">
        <f t="shared" si="7"/>
        <v>102.79443539063111</v>
      </c>
      <c r="W28" s="36">
        <f t="shared" si="8"/>
        <v>107.36967418546365</v>
      </c>
      <c r="X28" s="36">
        <f t="shared" si="8"/>
        <v>111.94491298029619</v>
      </c>
      <c r="Y28" s="36">
        <f t="shared" si="8"/>
        <v>116.52015177512872</v>
      </c>
      <c r="Z28" s="322">
        <f t="shared" si="2"/>
        <v>121.09539056996127</v>
      </c>
      <c r="AA28" s="36" t="str">
        <f t="shared" si="19"/>
        <v/>
      </c>
      <c r="AB28" s="36" t="str">
        <f t="shared" si="20"/>
        <v/>
      </c>
      <c r="AC28" s="36" t="str">
        <f t="shared" si="21"/>
        <v/>
      </c>
      <c r="AD28" s="36"/>
      <c r="AE28" s="36" t="str">
        <f t="shared" si="4"/>
        <v/>
      </c>
      <c r="AF28" s="36">
        <f t="shared" si="9"/>
        <v>0</v>
      </c>
      <c r="AG28" s="36">
        <f t="shared" si="9"/>
        <v>0</v>
      </c>
      <c r="AH28" s="36">
        <f t="shared" si="10"/>
        <v>10.840684210526319</v>
      </c>
      <c r="AI28" s="36">
        <f t="shared" si="11"/>
        <v>44.368421052631582</v>
      </c>
      <c r="AJ28" s="36">
        <f t="shared" si="12"/>
        <v>77.896157894736845</v>
      </c>
      <c r="AK28" s="36">
        <f t="shared" si="13"/>
        <v>111.4238947368421</v>
      </c>
      <c r="AL28" s="36">
        <f t="shared" si="14"/>
        <v>144.95163157894737</v>
      </c>
      <c r="AM28" s="36" t="str">
        <f t="shared" si="6"/>
        <v/>
      </c>
      <c r="AN28" s="36" t="str">
        <f t="shared" si="17"/>
        <v/>
      </c>
      <c r="AO28" s="36" t="str">
        <f t="shared" si="18"/>
        <v/>
      </c>
      <c r="AP28" s="707"/>
      <c r="AQ28" s="707"/>
      <c r="AR28" s="707"/>
      <c r="AS28" s="707"/>
      <c r="AT28" s="707"/>
      <c r="AU28" s="707"/>
      <c r="AV28" s="707"/>
      <c r="AW28" s="707"/>
      <c r="AX28" s="707"/>
      <c r="AY28" s="707"/>
      <c r="AZ28" s="707"/>
      <c r="BA28" s="707"/>
      <c r="BB28" s="707"/>
      <c r="BC28" s="707"/>
      <c r="BD28" s="707"/>
      <c r="BE28" s="707"/>
      <c r="BF28" s="707"/>
    </row>
    <row r="29" spans="1:58">
      <c r="A29" s="1173"/>
      <c r="B29" s="323"/>
      <c r="C29" s="324"/>
      <c r="D29" s="307"/>
      <c r="E29" s="307"/>
      <c r="F29" s="707"/>
      <c r="G29" s="707"/>
      <c r="H29" s="707"/>
      <c r="I29" s="707"/>
      <c r="J29" s="707"/>
      <c r="K29" s="707"/>
      <c r="L29" s="707"/>
      <c r="M29" s="707"/>
      <c r="N29" s="707"/>
      <c r="O29" s="707"/>
      <c r="P29" s="707"/>
      <c r="Q29" s="707"/>
      <c r="R29" s="707"/>
      <c r="S29" s="321" t="str">
        <f t="shared" si="0"/>
        <v/>
      </c>
      <c r="T29" s="36">
        <f t="shared" si="7"/>
        <v>93.643957800966035</v>
      </c>
      <c r="U29" s="36">
        <f t="shared" si="7"/>
        <v>98.219196595798579</v>
      </c>
      <c r="V29" s="36">
        <f t="shared" si="7"/>
        <v>102.79443539063111</v>
      </c>
      <c r="W29" s="36">
        <f t="shared" si="8"/>
        <v>107.36967418546365</v>
      </c>
      <c r="X29" s="36">
        <f t="shared" si="8"/>
        <v>111.94491298029619</v>
      </c>
      <c r="Y29" s="36">
        <f t="shared" si="8"/>
        <v>116.52015177512872</v>
      </c>
      <c r="Z29" s="322">
        <f t="shared" si="2"/>
        <v>121.09539056996127</v>
      </c>
      <c r="AA29" s="36" t="str">
        <f t="shared" si="19"/>
        <v/>
      </c>
      <c r="AB29" s="36" t="str">
        <f t="shared" si="20"/>
        <v/>
      </c>
      <c r="AC29" s="36" t="str">
        <f t="shared" si="21"/>
        <v/>
      </c>
      <c r="AD29" s="36"/>
      <c r="AE29" s="36" t="str">
        <f t="shared" si="4"/>
        <v/>
      </c>
      <c r="AF29" s="36">
        <f t="shared" si="9"/>
        <v>0</v>
      </c>
      <c r="AG29" s="36">
        <f t="shared" si="9"/>
        <v>0</v>
      </c>
      <c r="AH29" s="36">
        <f t="shared" si="10"/>
        <v>10.840684210526319</v>
      </c>
      <c r="AI29" s="36">
        <f t="shared" si="11"/>
        <v>44.368421052631582</v>
      </c>
      <c r="AJ29" s="36">
        <f t="shared" si="12"/>
        <v>77.896157894736845</v>
      </c>
      <c r="AK29" s="36">
        <f t="shared" si="13"/>
        <v>111.4238947368421</v>
      </c>
      <c r="AL29" s="36">
        <f t="shared" si="14"/>
        <v>144.95163157894737</v>
      </c>
      <c r="AM29" s="36" t="str">
        <f t="shared" si="6"/>
        <v/>
      </c>
      <c r="AN29" s="36" t="str">
        <f t="shared" si="17"/>
        <v/>
      </c>
      <c r="AO29" s="36" t="str">
        <f t="shared" si="18"/>
        <v/>
      </c>
      <c r="AP29" s="707"/>
      <c r="AQ29" s="707"/>
      <c r="AR29" s="707"/>
      <c r="AS29" s="707"/>
      <c r="AT29" s="707"/>
      <c r="AU29" s="707"/>
      <c r="AV29" s="707"/>
      <c r="AW29" s="707"/>
      <c r="AX29" s="707"/>
      <c r="AY29" s="707"/>
      <c r="AZ29" s="707"/>
      <c r="BA29" s="707"/>
      <c r="BB29" s="707"/>
      <c r="BC29" s="707"/>
      <c r="BD29" s="707"/>
      <c r="BE29" s="707"/>
      <c r="BF29" s="707"/>
    </row>
    <row r="30" spans="1:58">
      <c r="A30" s="1173"/>
      <c r="B30" s="323"/>
      <c r="C30" s="324"/>
      <c r="D30" s="307"/>
      <c r="E30" s="307"/>
      <c r="F30" s="707"/>
      <c r="G30" s="707"/>
      <c r="H30" s="707"/>
      <c r="I30" s="707"/>
      <c r="J30" s="707"/>
      <c r="K30" s="707"/>
      <c r="L30" s="707"/>
      <c r="M30" s="707"/>
      <c r="N30" s="707"/>
      <c r="O30" s="707"/>
      <c r="P30" s="707"/>
      <c r="Q30" s="707"/>
      <c r="R30" s="707"/>
      <c r="S30" s="321" t="str">
        <f t="shared" si="0"/>
        <v/>
      </c>
      <c r="T30" s="36">
        <f t="shared" si="7"/>
        <v>93.643957800966035</v>
      </c>
      <c r="U30" s="36">
        <f t="shared" si="7"/>
        <v>98.219196595798579</v>
      </c>
      <c r="V30" s="36">
        <f t="shared" si="7"/>
        <v>102.79443539063111</v>
      </c>
      <c r="W30" s="36">
        <f t="shared" si="8"/>
        <v>107.36967418546365</v>
      </c>
      <c r="X30" s="36">
        <f t="shared" si="8"/>
        <v>111.94491298029619</v>
      </c>
      <c r="Y30" s="36">
        <f t="shared" si="8"/>
        <v>116.52015177512872</v>
      </c>
      <c r="Z30" s="322">
        <f t="shared" si="2"/>
        <v>121.09539056996127</v>
      </c>
      <c r="AA30" s="36" t="str">
        <f t="shared" si="19"/>
        <v/>
      </c>
      <c r="AB30" s="36" t="str">
        <f t="shared" si="20"/>
        <v/>
      </c>
      <c r="AC30" s="36" t="str">
        <f t="shared" si="21"/>
        <v/>
      </c>
      <c r="AD30" s="36"/>
      <c r="AE30" s="36" t="str">
        <f t="shared" si="4"/>
        <v/>
      </c>
      <c r="AF30" s="36">
        <f t="shared" si="9"/>
        <v>0</v>
      </c>
      <c r="AG30" s="36">
        <f t="shared" si="9"/>
        <v>0</v>
      </c>
      <c r="AH30" s="36">
        <f t="shared" si="10"/>
        <v>10.840684210526319</v>
      </c>
      <c r="AI30" s="36">
        <f t="shared" si="11"/>
        <v>44.368421052631582</v>
      </c>
      <c r="AJ30" s="36">
        <f t="shared" si="12"/>
        <v>77.896157894736845</v>
      </c>
      <c r="AK30" s="36">
        <f t="shared" si="13"/>
        <v>111.4238947368421</v>
      </c>
      <c r="AL30" s="36">
        <f t="shared" si="14"/>
        <v>144.95163157894737</v>
      </c>
      <c r="AM30" s="36" t="str">
        <f t="shared" si="6"/>
        <v/>
      </c>
      <c r="AN30" s="36" t="str">
        <f t="shared" si="17"/>
        <v/>
      </c>
      <c r="AO30" s="36" t="str">
        <f t="shared" si="18"/>
        <v/>
      </c>
      <c r="AP30" s="707"/>
      <c r="AQ30" s="707"/>
      <c r="AR30" s="707"/>
      <c r="AS30" s="707"/>
      <c r="AT30" s="707"/>
      <c r="AU30" s="707"/>
      <c r="AV30" s="707"/>
      <c r="AW30" s="707"/>
      <c r="AX30" s="707"/>
      <c r="AY30" s="707"/>
      <c r="AZ30" s="707"/>
      <c r="BA30" s="707"/>
      <c r="BB30" s="707"/>
      <c r="BC30" s="707"/>
      <c r="BD30" s="707"/>
      <c r="BE30" s="707"/>
      <c r="BF30" s="707"/>
    </row>
    <row r="31" spans="1:58">
      <c r="A31" s="1173"/>
      <c r="B31" s="323"/>
      <c r="C31" s="324"/>
      <c r="D31" s="307"/>
      <c r="E31" s="307"/>
      <c r="F31" s="707"/>
      <c r="G31" s="707"/>
      <c r="H31" s="707"/>
      <c r="I31" s="707"/>
      <c r="J31" s="707"/>
      <c r="K31" s="707"/>
      <c r="L31" s="707"/>
      <c r="M31" s="707"/>
      <c r="N31" s="707"/>
      <c r="O31" s="707"/>
      <c r="P31" s="707"/>
      <c r="Q31" s="707"/>
      <c r="R31" s="707"/>
      <c r="S31" s="321" t="str">
        <f t="shared" si="0"/>
        <v/>
      </c>
      <c r="T31" s="36">
        <f t="shared" si="7"/>
        <v>93.643957800966035</v>
      </c>
      <c r="U31" s="36">
        <f t="shared" si="7"/>
        <v>98.219196595798579</v>
      </c>
      <c r="V31" s="36">
        <f t="shared" si="7"/>
        <v>102.79443539063111</v>
      </c>
      <c r="W31" s="36">
        <f t="shared" si="8"/>
        <v>107.36967418546365</v>
      </c>
      <c r="X31" s="36">
        <f t="shared" si="8"/>
        <v>111.94491298029619</v>
      </c>
      <c r="Y31" s="36">
        <f t="shared" si="8"/>
        <v>116.52015177512872</v>
      </c>
      <c r="Z31" s="322">
        <f t="shared" si="2"/>
        <v>121.09539056996127</v>
      </c>
      <c r="AA31" s="36" t="str">
        <f t="shared" si="19"/>
        <v/>
      </c>
      <c r="AB31" s="36" t="str">
        <f t="shared" si="20"/>
        <v/>
      </c>
      <c r="AC31" s="36" t="str">
        <f t="shared" si="21"/>
        <v/>
      </c>
      <c r="AD31" s="36"/>
      <c r="AE31" s="36" t="str">
        <f t="shared" si="4"/>
        <v/>
      </c>
      <c r="AF31" s="36">
        <f t="shared" si="9"/>
        <v>0</v>
      </c>
      <c r="AG31" s="36">
        <f t="shared" si="9"/>
        <v>0</v>
      </c>
      <c r="AH31" s="36">
        <f t="shared" si="10"/>
        <v>10.840684210526319</v>
      </c>
      <c r="AI31" s="36">
        <f t="shared" si="11"/>
        <v>44.368421052631582</v>
      </c>
      <c r="AJ31" s="36">
        <f t="shared" si="12"/>
        <v>77.896157894736845</v>
      </c>
      <c r="AK31" s="36">
        <f t="shared" si="13"/>
        <v>111.4238947368421</v>
      </c>
      <c r="AL31" s="36">
        <f t="shared" si="14"/>
        <v>144.95163157894737</v>
      </c>
      <c r="AM31" s="36" t="str">
        <f t="shared" si="6"/>
        <v/>
      </c>
      <c r="AN31" s="36" t="str">
        <f t="shared" si="17"/>
        <v/>
      </c>
      <c r="AO31" s="36" t="str">
        <f t="shared" si="18"/>
        <v/>
      </c>
      <c r="AP31" s="707"/>
      <c r="AQ31" s="707"/>
      <c r="AR31" s="707"/>
      <c r="AS31" s="707"/>
      <c r="AT31" s="707"/>
      <c r="AU31" s="707"/>
      <c r="AV31" s="707"/>
      <c r="AW31" s="707"/>
      <c r="AX31" s="707"/>
      <c r="AY31" s="707"/>
      <c r="AZ31" s="707"/>
      <c r="BA31" s="707"/>
      <c r="BB31" s="707"/>
      <c r="BC31" s="707"/>
      <c r="BD31" s="707"/>
      <c r="BE31" s="707"/>
      <c r="BF31" s="707"/>
    </row>
    <row r="32" spans="1:58">
      <c r="A32" s="1173"/>
      <c r="B32" s="323"/>
      <c r="C32" s="324"/>
      <c r="D32" s="307"/>
      <c r="E32" s="307"/>
      <c r="F32" s="707"/>
      <c r="G32" s="707"/>
      <c r="H32" s="707"/>
      <c r="I32" s="707"/>
      <c r="J32" s="707"/>
      <c r="K32" s="707"/>
      <c r="L32" s="707"/>
      <c r="M32" s="707"/>
      <c r="N32" s="707"/>
      <c r="O32" s="707"/>
      <c r="P32" s="707"/>
      <c r="Q32" s="707"/>
      <c r="R32" s="707"/>
      <c r="S32" s="321" t="str">
        <f t="shared" si="0"/>
        <v/>
      </c>
      <c r="T32" s="36">
        <f t="shared" si="7"/>
        <v>93.643957800966035</v>
      </c>
      <c r="U32" s="36">
        <f t="shared" si="7"/>
        <v>98.219196595798579</v>
      </c>
      <c r="V32" s="36">
        <f t="shared" si="7"/>
        <v>102.79443539063111</v>
      </c>
      <c r="W32" s="36">
        <f t="shared" si="8"/>
        <v>107.36967418546365</v>
      </c>
      <c r="X32" s="36">
        <f t="shared" si="8"/>
        <v>111.94491298029619</v>
      </c>
      <c r="Y32" s="36">
        <f t="shared" si="8"/>
        <v>116.52015177512872</v>
      </c>
      <c r="Z32" s="322">
        <f t="shared" si="2"/>
        <v>121.09539056996127</v>
      </c>
      <c r="AA32" s="36" t="str">
        <f t="shared" si="19"/>
        <v/>
      </c>
      <c r="AB32" s="36" t="str">
        <f t="shared" si="20"/>
        <v/>
      </c>
      <c r="AC32" s="36" t="str">
        <f t="shared" si="21"/>
        <v/>
      </c>
      <c r="AD32" s="36"/>
      <c r="AE32" s="36" t="str">
        <f t="shared" si="4"/>
        <v/>
      </c>
      <c r="AF32" s="36">
        <f t="shared" si="9"/>
        <v>0</v>
      </c>
      <c r="AG32" s="36">
        <f t="shared" si="9"/>
        <v>0</v>
      </c>
      <c r="AH32" s="36">
        <f t="shared" si="10"/>
        <v>10.840684210526319</v>
      </c>
      <c r="AI32" s="36">
        <f t="shared" si="11"/>
        <v>44.368421052631582</v>
      </c>
      <c r="AJ32" s="36">
        <f t="shared" si="12"/>
        <v>77.896157894736845</v>
      </c>
      <c r="AK32" s="36">
        <f t="shared" si="13"/>
        <v>111.4238947368421</v>
      </c>
      <c r="AL32" s="36">
        <f t="shared" si="14"/>
        <v>144.95163157894737</v>
      </c>
      <c r="AM32" s="36" t="str">
        <f t="shared" si="6"/>
        <v/>
      </c>
      <c r="AN32" s="36" t="str">
        <f t="shared" si="17"/>
        <v/>
      </c>
      <c r="AO32" s="36" t="str">
        <f t="shared" si="18"/>
        <v/>
      </c>
      <c r="AP32" s="707"/>
      <c r="AQ32" s="707"/>
      <c r="AR32" s="707"/>
      <c r="AS32" s="707"/>
      <c r="AT32" s="707"/>
      <c r="AU32" s="707"/>
      <c r="AV32" s="707"/>
      <c r="AW32" s="707"/>
      <c r="AX32" s="707"/>
      <c r="AY32" s="707"/>
      <c r="AZ32" s="707"/>
      <c r="BA32" s="707"/>
      <c r="BB32" s="707"/>
      <c r="BC32" s="707"/>
      <c r="BD32" s="707"/>
      <c r="BE32" s="707"/>
      <c r="BF32" s="707"/>
    </row>
    <row r="33" spans="2:41">
      <c r="B33" s="323"/>
      <c r="C33" s="324"/>
      <c r="D33" s="307"/>
      <c r="E33" s="307"/>
      <c r="F33" s="707"/>
      <c r="G33" s="707"/>
      <c r="H33" s="707"/>
      <c r="I33" s="707"/>
      <c r="J33" s="707"/>
      <c r="K33" s="707"/>
      <c r="L33" s="707"/>
      <c r="M33" s="707"/>
      <c r="N33" s="707"/>
      <c r="O33" s="707"/>
      <c r="P33" s="707"/>
      <c r="Q33" s="707"/>
      <c r="R33" s="707"/>
      <c r="S33" s="321" t="str">
        <f t="shared" si="0"/>
        <v/>
      </c>
      <c r="T33" s="36">
        <f t="shared" si="7"/>
        <v>93.643957800966035</v>
      </c>
      <c r="U33" s="36">
        <f t="shared" si="7"/>
        <v>98.219196595798579</v>
      </c>
      <c r="V33" s="36">
        <f t="shared" si="7"/>
        <v>102.79443539063111</v>
      </c>
      <c r="W33" s="36">
        <f t="shared" si="8"/>
        <v>107.36967418546365</v>
      </c>
      <c r="X33" s="36">
        <f t="shared" si="8"/>
        <v>111.94491298029619</v>
      </c>
      <c r="Y33" s="36">
        <f t="shared" si="8"/>
        <v>116.52015177512872</v>
      </c>
      <c r="Z33" s="322">
        <f t="shared" si="2"/>
        <v>121.09539056996127</v>
      </c>
      <c r="AA33" s="36" t="str">
        <f t="shared" si="19"/>
        <v/>
      </c>
      <c r="AB33" s="36" t="str">
        <f t="shared" si="20"/>
        <v/>
      </c>
      <c r="AC33" s="36" t="str">
        <f t="shared" si="21"/>
        <v/>
      </c>
      <c r="AD33" s="36"/>
      <c r="AE33" s="36" t="str">
        <f t="shared" si="4"/>
        <v/>
      </c>
      <c r="AF33" s="36">
        <f t="shared" si="9"/>
        <v>0</v>
      </c>
      <c r="AG33" s="36">
        <f t="shared" si="9"/>
        <v>0</v>
      </c>
      <c r="AH33" s="36">
        <f t="shared" si="10"/>
        <v>10.840684210526319</v>
      </c>
      <c r="AI33" s="36">
        <f t="shared" si="11"/>
        <v>44.368421052631582</v>
      </c>
      <c r="AJ33" s="36">
        <f t="shared" si="12"/>
        <v>77.896157894736845</v>
      </c>
      <c r="AK33" s="36">
        <f t="shared" si="13"/>
        <v>111.4238947368421</v>
      </c>
      <c r="AL33" s="36">
        <f t="shared" si="14"/>
        <v>144.95163157894737</v>
      </c>
      <c r="AM33" s="36" t="str">
        <f t="shared" si="6"/>
        <v/>
      </c>
      <c r="AN33" s="36" t="str">
        <f t="shared" si="17"/>
        <v/>
      </c>
      <c r="AO33" s="36" t="str">
        <f>IF(IF(AE31&lt;AH31,1,0)+IF(AE33&lt;AH33,1,0)+IF(AE34&lt;AH34,1,0)+IF(AE35&lt;AH35,1,0)+IF(AE32&lt;AH32,1,0)+IF(AE31&gt;AJ31,1,0)+IF(AE32&gt;AJ32,1,0)+IF(AE33&gt;AJ33,1,0)+IF(AE34&gt;AJ34,1,0)+IF(AE35&gt;AJ35,1,0)&gt;=4,AE33,-1)</f>
        <v/>
      </c>
    </row>
    <row r="34" spans="2:41">
      <c r="B34" s="323"/>
      <c r="C34" s="324"/>
      <c r="D34" s="307"/>
      <c r="E34" s="307"/>
      <c r="F34" s="707"/>
      <c r="G34" s="707"/>
      <c r="H34" s="707"/>
      <c r="I34" s="707"/>
      <c r="J34" s="707"/>
      <c r="K34" s="707"/>
      <c r="L34" s="707"/>
      <c r="M34" s="707"/>
      <c r="N34" s="707"/>
      <c r="O34" s="707"/>
      <c r="P34" s="707"/>
      <c r="Q34" s="707"/>
      <c r="R34" s="707"/>
      <c r="S34" s="321" t="str">
        <f t="shared" si="0"/>
        <v/>
      </c>
      <c r="T34" s="36">
        <f t="shared" si="7"/>
        <v>93.643957800966035</v>
      </c>
      <c r="U34" s="36">
        <f t="shared" si="7"/>
        <v>98.219196595798579</v>
      </c>
      <c r="V34" s="36">
        <f t="shared" si="7"/>
        <v>102.79443539063111</v>
      </c>
      <c r="W34" s="36">
        <f t="shared" si="8"/>
        <v>107.36967418546365</v>
      </c>
      <c r="X34" s="36">
        <f t="shared" si="8"/>
        <v>111.94491298029619</v>
      </c>
      <c r="Y34" s="36">
        <f t="shared" si="8"/>
        <v>116.52015177512872</v>
      </c>
      <c r="Z34" s="322">
        <f t="shared" si="2"/>
        <v>121.09539056996127</v>
      </c>
      <c r="AA34" s="36" t="str">
        <f t="shared" si="19"/>
        <v/>
      </c>
      <c r="AB34" s="36" t="str">
        <f t="shared" si="20"/>
        <v/>
      </c>
      <c r="AC34" s="36" t="str">
        <f t="shared" si="21"/>
        <v/>
      </c>
      <c r="AD34" s="36"/>
      <c r="AE34" s="36" t="str">
        <f t="shared" si="4"/>
        <v/>
      </c>
      <c r="AF34" s="36">
        <f t="shared" si="9"/>
        <v>0</v>
      </c>
      <c r="AG34" s="36">
        <f t="shared" si="9"/>
        <v>0</v>
      </c>
      <c r="AH34" s="36">
        <f t="shared" si="10"/>
        <v>10.840684210526319</v>
      </c>
      <c r="AI34" s="36">
        <f t="shared" si="11"/>
        <v>44.368421052631582</v>
      </c>
      <c r="AJ34" s="36">
        <f t="shared" si="12"/>
        <v>77.896157894736845</v>
      </c>
      <c r="AK34" s="36">
        <f t="shared" si="13"/>
        <v>111.4238947368421</v>
      </c>
      <c r="AL34" s="36">
        <f t="shared" si="14"/>
        <v>144.95163157894737</v>
      </c>
      <c r="AM34" s="36" t="str">
        <f t="shared" si="6"/>
        <v/>
      </c>
      <c r="AN34" s="36" t="str">
        <f t="shared" si="17"/>
        <v/>
      </c>
      <c r="AO34" s="36" t="str">
        <f t="shared" ref="AO34:AO38" si="22">IF(IF(AE32&lt;AH32,1,0)+IF(AE34&lt;AH34,1,0)+IF(AE35&lt;AH35,1,0)+IF(AE36&lt;AH36,1,0)+IF(AE33&lt;AH33,1,0)+IF(AE32&gt;AJ32,1,0)+IF(AE33&gt;AJ33,1,0)+IF(AE34&gt;AJ34,1,0)+IF(AE35&gt;AJ35,1,0)+IF(AE36&gt;AJ36,1,0)&gt;4,AE34,-1)</f>
        <v/>
      </c>
    </row>
    <row r="35" spans="2:41">
      <c r="B35" s="323"/>
      <c r="C35" s="324"/>
      <c r="D35" s="307"/>
      <c r="E35" s="307"/>
      <c r="F35" s="707"/>
      <c r="G35" s="707"/>
      <c r="H35" s="707"/>
      <c r="I35" s="707"/>
      <c r="J35" s="707"/>
      <c r="K35" s="707"/>
      <c r="L35" s="707"/>
      <c r="M35" s="707"/>
      <c r="N35" s="707"/>
      <c r="O35" s="707"/>
      <c r="P35" s="707"/>
      <c r="Q35" s="707"/>
      <c r="R35" s="707"/>
      <c r="S35" s="321" t="str">
        <f t="shared" si="0"/>
        <v/>
      </c>
      <c r="T35" s="36">
        <f t="shared" si="7"/>
        <v>93.643957800966035</v>
      </c>
      <c r="U35" s="36">
        <f t="shared" si="7"/>
        <v>98.219196595798579</v>
      </c>
      <c r="V35" s="36">
        <f t="shared" si="7"/>
        <v>102.79443539063111</v>
      </c>
      <c r="W35" s="36">
        <f t="shared" si="8"/>
        <v>107.36967418546365</v>
      </c>
      <c r="X35" s="36">
        <f t="shared" si="8"/>
        <v>111.94491298029619</v>
      </c>
      <c r="Y35" s="36">
        <f t="shared" si="8"/>
        <v>116.52015177512872</v>
      </c>
      <c r="Z35" s="322">
        <f t="shared" si="2"/>
        <v>121.09539056996127</v>
      </c>
      <c r="AA35" s="36" t="str">
        <f t="shared" si="19"/>
        <v/>
      </c>
      <c r="AB35" s="36" t="str">
        <f t="shared" si="20"/>
        <v/>
      </c>
      <c r="AC35" s="36" t="str">
        <f t="shared" si="21"/>
        <v/>
      </c>
      <c r="AD35" s="36"/>
      <c r="AE35" s="36" t="str">
        <f t="shared" si="4"/>
        <v/>
      </c>
      <c r="AF35" s="36">
        <f t="shared" si="9"/>
        <v>0</v>
      </c>
      <c r="AG35" s="36">
        <f t="shared" si="9"/>
        <v>0</v>
      </c>
      <c r="AH35" s="36">
        <f t="shared" si="10"/>
        <v>10.840684210526319</v>
      </c>
      <c r="AI35" s="36">
        <f t="shared" si="11"/>
        <v>44.368421052631582</v>
      </c>
      <c r="AJ35" s="36">
        <f t="shared" si="12"/>
        <v>77.896157894736845</v>
      </c>
      <c r="AK35" s="36">
        <f t="shared" si="13"/>
        <v>111.4238947368421</v>
      </c>
      <c r="AL35" s="36">
        <f t="shared" si="14"/>
        <v>144.95163157894737</v>
      </c>
      <c r="AM35" s="36" t="str">
        <f t="shared" si="6"/>
        <v/>
      </c>
      <c r="AN35" s="36" t="str">
        <f t="shared" si="17"/>
        <v/>
      </c>
      <c r="AO35" s="36" t="str">
        <f t="shared" si="22"/>
        <v/>
      </c>
    </row>
    <row r="36" spans="2:41">
      <c r="B36" s="323"/>
      <c r="C36" s="324"/>
      <c r="D36" s="307"/>
      <c r="E36" s="307"/>
      <c r="F36" s="707"/>
      <c r="G36" s="707"/>
      <c r="H36" s="707"/>
      <c r="I36" s="707"/>
      <c r="J36" s="707"/>
      <c r="K36" s="707"/>
      <c r="L36" s="707"/>
      <c r="M36" s="707"/>
      <c r="N36" s="707"/>
      <c r="O36" s="707"/>
      <c r="P36" s="707"/>
      <c r="Q36" s="707"/>
      <c r="R36" s="707"/>
      <c r="S36" s="321" t="str">
        <f t="shared" si="0"/>
        <v/>
      </c>
      <c r="T36" s="36">
        <f t="shared" si="7"/>
        <v>93.643957800966035</v>
      </c>
      <c r="U36" s="36">
        <f t="shared" si="7"/>
        <v>98.219196595798579</v>
      </c>
      <c r="V36" s="36">
        <f t="shared" si="7"/>
        <v>102.79443539063111</v>
      </c>
      <c r="W36" s="36">
        <f t="shared" si="8"/>
        <v>107.36967418546365</v>
      </c>
      <c r="X36" s="36">
        <f t="shared" si="8"/>
        <v>111.94491298029619</v>
      </c>
      <c r="Y36" s="36">
        <f t="shared" si="8"/>
        <v>116.52015177512872</v>
      </c>
      <c r="Z36" s="322">
        <f t="shared" si="2"/>
        <v>121.09539056996127</v>
      </c>
      <c r="AA36" s="36" t="str">
        <f t="shared" si="19"/>
        <v/>
      </c>
      <c r="AB36" s="36" t="str">
        <f t="shared" si="20"/>
        <v/>
      </c>
      <c r="AC36" s="36" t="str">
        <f t="shared" si="21"/>
        <v/>
      </c>
      <c r="AD36" s="36"/>
      <c r="AE36" s="36" t="str">
        <f t="shared" si="4"/>
        <v/>
      </c>
      <c r="AF36" s="36">
        <f t="shared" si="9"/>
        <v>0</v>
      </c>
      <c r="AG36" s="36">
        <f t="shared" si="9"/>
        <v>0</v>
      </c>
      <c r="AH36" s="36">
        <f t="shared" si="10"/>
        <v>10.840684210526319</v>
      </c>
      <c r="AI36" s="36">
        <f t="shared" si="11"/>
        <v>44.368421052631582</v>
      </c>
      <c r="AJ36" s="36">
        <f t="shared" si="12"/>
        <v>77.896157894736845</v>
      </c>
      <c r="AK36" s="36">
        <f t="shared" si="13"/>
        <v>111.4238947368421</v>
      </c>
      <c r="AL36" s="36">
        <f t="shared" si="14"/>
        <v>144.95163157894737</v>
      </c>
      <c r="AM36" s="36" t="str">
        <f t="shared" si="6"/>
        <v/>
      </c>
      <c r="AN36" s="36" t="str">
        <f t="shared" si="17"/>
        <v/>
      </c>
      <c r="AO36" s="36" t="str">
        <f t="shared" si="22"/>
        <v/>
      </c>
    </row>
    <row r="37" spans="2:41">
      <c r="B37" s="323"/>
      <c r="C37" s="324"/>
      <c r="D37" s="307"/>
      <c r="E37" s="307"/>
      <c r="F37" s="707"/>
      <c r="G37" s="707"/>
      <c r="H37" s="707"/>
      <c r="I37" s="707"/>
      <c r="J37" s="707"/>
      <c r="K37" s="707"/>
      <c r="L37" s="707"/>
      <c r="M37" s="707"/>
      <c r="N37" s="707"/>
      <c r="O37" s="707"/>
      <c r="P37" s="707"/>
      <c r="Q37" s="707"/>
      <c r="R37" s="707"/>
      <c r="S37" s="321" t="str">
        <f t="shared" si="0"/>
        <v/>
      </c>
      <c r="T37" s="36">
        <f t="shared" si="7"/>
        <v>93.643957800966035</v>
      </c>
      <c r="U37" s="36">
        <f t="shared" si="7"/>
        <v>98.219196595798579</v>
      </c>
      <c r="V37" s="36">
        <f t="shared" si="7"/>
        <v>102.79443539063111</v>
      </c>
      <c r="W37" s="36">
        <f t="shared" si="8"/>
        <v>107.36967418546365</v>
      </c>
      <c r="X37" s="36">
        <f t="shared" si="8"/>
        <v>111.94491298029619</v>
      </c>
      <c r="Y37" s="36">
        <f t="shared" si="8"/>
        <v>116.52015177512872</v>
      </c>
      <c r="Z37" s="322">
        <f t="shared" si="2"/>
        <v>121.09539056996127</v>
      </c>
      <c r="AA37" s="36" t="str">
        <f t="shared" si="19"/>
        <v/>
      </c>
      <c r="AB37" s="36" t="str">
        <f t="shared" si="20"/>
        <v/>
      </c>
      <c r="AC37" s="36">
        <f t="shared" si="21"/>
        <v>-1</v>
      </c>
      <c r="AD37" s="36"/>
      <c r="AE37" s="36" t="str">
        <f t="shared" si="4"/>
        <v/>
      </c>
      <c r="AF37" s="36">
        <f t="shared" si="9"/>
        <v>0</v>
      </c>
      <c r="AG37" s="36">
        <f t="shared" si="9"/>
        <v>0</v>
      </c>
      <c r="AH37" s="36">
        <f t="shared" si="10"/>
        <v>10.840684210526319</v>
      </c>
      <c r="AI37" s="36">
        <f t="shared" si="11"/>
        <v>44.368421052631582</v>
      </c>
      <c r="AJ37" s="36">
        <f t="shared" si="12"/>
        <v>77.896157894736845</v>
      </c>
      <c r="AK37" s="36">
        <f t="shared" si="13"/>
        <v>111.4238947368421</v>
      </c>
      <c r="AL37" s="36">
        <f t="shared" si="14"/>
        <v>144.95163157894737</v>
      </c>
      <c r="AM37" s="36" t="str">
        <f t="shared" si="6"/>
        <v/>
      </c>
      <c r="AN37" s="36" t="str">
        <f t="shared" si="17"/>
        <v/>
      </c>
      <c r="AO37" s="36">
        <f t="shared" si="22"/>
        <v>-1</v>
      </c>
    </row>
    <row r="38" spans="2:41">
      <c r="B38" s="323"/>
      <c r="C38" s="324"/>
      <c r="D38" s="307"/>
      <c r="E38" s="307"/>
      <c r="F38" s="707"/>
      <c r="G38" s="707"/>
      <c r="H38" s="707"/>
      <c r="I38" s="707"/>
      <c r="J38" s="707"/>
      <c r="K38" s="707"/>
      <c r="L38" s="707"/>
      <c r="M38" s="707"/>
      <c r="N38" s="707"/>
      <c r="O38" s="707"/>
      <c r="P38" s="707"/>
      <c r="Q38" s="707"/>
      <c r="R38" s="707"/>
      <c r="S38" s="321" t="str">
        <f t="shared" si="0"/>
        <v/>
      </c>
      <c r="T38" s="36">
        <f t="shared" si="7"/>
        <v>93.643957800966035</v>
      </c>
      <c r="U38" s="36">
        <f t="shared" si="7"/>
        <v>98.219196595798579</v>
      </c>
      <c r="V38" s="36">
        <f t="shared" si="7"/>
        <v>102.79443539063111</v>
      </c>
      <c r="W38" s="36">
        <f t="shared" si="8"/>
        <v>107.36967418546365</v>
      </c>
      <c r="X38" s="36">
        <f t="shared" si="8"/>
        <v>111.94491298029619</v>
      </c>
      <c r="Y38" s="36">
        <f t="shared" si="8"/>
        <v>116.52015177512872</v>
      </c>
      <c r="Z38" s="322">
        <f t="shared" si="2"/>
        <v>121.09539056996127</v>
      </c>
      <c r="AA38" s="36" t="str">
        <f t="shared" si="19"/>
        <v/>
      </c>
      <c r="AB38" s="36" t="str">
        <f t="shared" si="20"/>
        <v/>
      </c>
      <c r="AC38" s="36">
        <f t="shared" si="21"/>
        <v>-1</v>
      </c>
      <c r="AD38" s="36"/>
      <c r="AE38" s="36" t="str">
        <f t="shared" si="4"/>
        <v/>
      </c>
      <c r="AF38" s="36">
        <f t="shared" si="9"/>
        <v>0</v>
      </c>
      <c r="AG38" s="36">
        <f t="shared" si="9"/>
        <v>0</v>
      </c>
      <c r="AH38" s="36">
        <f t="shared" si="10"/>
        <v>10.840684210526319</v>
      </c>
      <c r="AI38" s="36">
        <f t="shared" si="11"/>
        <v>44.368421052631582</v>
      </c>
      <c r="AJ38" s="36">
        <f t="shared" si="12"/>
        <v>77.896157894736845</v>
      </c>
      <c r="AK38" s="36">
        <f t="shared" si="13"/>
        <v>111.4238947368421</v>
      </c>
      <c r="AL38" s="36">
        <f t="shared" si="14"/>
        <v>144.95163157894737</v>
      </c>
      <c r="AM38" s="36" t="str">
        <f t="shared" si="6"/>
        <v/>
      </c>
      <c r="AN38" s="36" t="str">
        <f t="shared" si="17"/>
        <v/>
      </c>
      <c r="AO38" s="36">
        <f t="shared" si="22"/>
        <v>-1</v>
      </c>
    </row>
    <row r="39" spans="2:41">
      <c r="B39" s="1174"/>
      <c r="C39" s="1169"/>
      <c r="D39" s="707"/>
      <c r="E39" s="707"/>
      <c r="F39" s="707"/>
      <c r="G39" s="707"/>
      <c r="H39" s="707"/>
      <c r="I39" s="707"/>
      <c r="J39" s="707"/>
      <c r="K39" s="707"/>
      <c r="L39" s="707"/>
      <c r="M39" s="707"/>
      <c r="N39" s="707"/>
      <c r="O39" s="707"/>
      <c r="P39" s="707"/>
      <c r="Q39" s="707"/>
      <c r="R39" s="707"/>
      <c r="T39" s="36"/>
      <c r="U39" s="36"/>
      <c r="V39" s="36"/>
      <c r="W39" s="32"/>
      <c r="X39" s="32"/>
      <c r="Y39" s="32"/>
      <c r="Z39" s="36"/>
      <c r="AA39" s="36"/>
      <c r="AB39" s="36"/>
      <c r="AC39" s="36"/>
      <c r="AD39" s="36"/>
      <c r="AF39" s="36"/>
      <c r="AG39" s="36"/>
      <c r="AH39" s="36"/>
      <c r="AI39" s="36"/>
      <c r="AJ39" s="36"/>
      <c r="AK39" s="36"/>
      <c r="AL39" s="36"/>
      <c r="AM39" s="36"/>
      <c r="AN39" s="36"/>
      <c r="AO39" s="36"/>
    </row>
    <row r="40" spans="2:41">
      <c r="B40" s="1174"/>
      <c r="C40" s="707"/>
      <c r="D40" s="707"/>
      <c r="E40" s="707"/>
      <c r="F40" s="707"/>
      <c r="G40" s="707"/>
      <c r="H40" s="707"/>
      <c r="I40" s="707"/>
      <c r="J40" s="707"/>
      <c r="K40" s="707"/>
      <c r="L40" s="707"/>
      <c r="M40" s="707"/>
      <c r="N40" s="707"/>
      <c r="O40" s="707"/>
      <c r="P40" s="707"/>
      <c r="Q40" s="707"/>
      <c r="R40" s="707"/>
      <c r="T40" s="36"/>
      <c r="U40" s="36"/>
      <c r="V40" s="36"/>
      <c r="W40" s="32"/>
      <c r="X40" s="32"/>
      <c r="Y40" s="32"/>
      <c r="Z40" s="36"/>
      <c r="AA40" s="36"/>
      <c r="AB40" s="36"/>
      <c r="AC40" s="36"/>
      <c r="AD40" s="36"/>
      <c r="AF40" s="36"/>
      <c r="AG40" s="36"/>
      <c r="AH40" s="36"/>
      <c r="AI40" s="36"/>
      <c r="AJ40" s="36"/>
      <c r="AK40" s="36"/>
      <c r="AL40" s="36"/>
      <c r="AM40" s="36"/>
      <c r="AN40" s="36"/>
      <c r="AO40" s="36"/>
    </row>
    <row r="41" spans="2:41">
      <c r="B41" s="1174"/>
      <c r="C41" s="707"/>
      <c r="D41" s="707"/>
      <c r="E41" s="707"/>
      <c r="F41" s="707"/>
      <c r="G41" s="707"/>
      <c r="H41" s="707"/>
      <c r="I41" s="707"/>
      <c r="J41" s="707"/>
      <c r="K41" s="707"/>
      <c r="L41" s="707"/>
      <c r="M41" s="707"/>
      <c r="N41" s="707"/>
      <c r="O41" s="707"/>
      <c r="P41" s="707"/>
      <c r="Q41" s="707"/>
      <c r="R41" s="707"/>
      <c r="T41" s="36"/>
      <c r="U41" s="36"/>
      <c r="V41" s="36"/>
      <c r="W41" s="32"/>
      <c r="X41" s="32"/>
      <c r="Y41" s="32"/>
      <c r="Z41" s="36"/>
      <c r="AA41" s="36"/>
      <c r="AB41" s="36"/>
      <c r="AC41" s="36"/>
      <c r="AD41" s="36"/>
      <c r="AF41" s="36"/>
      <c r="AG41" s="36"/>
      <c r="AH41" s="36"/>
      <c r="AI41" s="36"/>
      <c r="AJ41" s="36"/>
      <c r="AK41" s="36"/>
      <c r="AL41" s="36"/>
      <c r="AM41" s="36"/>
      <c r="AN41" s="36"/>
      <c r="AO41" s="36"/>
    </row>
    <row r="42" spans="2:41">
      <c r="B42" s="1174"/>
      <c r="C42" s="707"/>
      <c r="D42" s="707"/>
      <c r="E42" s="707"/>
      <c r="F42" s="707"/>
      <c r="G42" s="707"/>
      <c r="H42" s="707"/>
      <c r="I42" s="707"/>
      <c r="J42" s="707"/>
      <c r="K42" s="707"/>
      <c r="L42" s="707"/>
      <c r="M42" s="707"/>
      <c r="N42" s="707"/>
      <c r="O42" s="707"/>
      <c r="P42" s="707"/>
      <c r="Q42" s="707"/>
      <c r="R42" s="707"/>
      <c r="T42" s="36"/>
      <c r="U42" s="36"/>
      <c r="V42" s="36"/>
      <c r="W42" s="32"/>
      <c r="X42" s="32"/>
      <c r="Y42" s="32"/>
      <c r="Z42" s="36"/>
      <c r="AA42" s="36"/>
      <c r="AB42" s="36"/>
      <c r="AC42" s="36"/>
      <c r="AD42" s="36"/>
      <c r="AF42" s="36"/>
      <c r="AG42" s="36"/>
      <c r="AH42" s="36"/>
      <c r="AI42" s="36"/>
      <c r="AJ42" s="36"/>
      <c r="AK42" s="36"/>
      <c r="AL42" s="36"/>
      <c r="AM42" s="36"/>
      <c r="AN42" s="36"/>
      <c r="AO42" s="36"/>
    </row>
    <row r="43" spans="2:41">
      <c r="B43" s="1174"/>
      <c r="C43" s="707"/>
      <c r="D43" s="707"/>
      <c r="E43" s="707"/>
      <c r="F43" s="707"/>
      <c r="G43" s="707"/>
      <c r="H43" s="707"/>
      <c r="I43" s="707"/>
      <c r="J43" s="707"/>
      <c r="K43" s="707"/>
      <c r="L43" s="707"/>
      <c r="M43" s="707"/>
      <c r="N43" s="707"/>
      <c r="O43" s="707"/>
      <c r="P43" s="707"/>
      <c r="Q43" s="707"/>
      <c r="R43" s="707"/>
      <c r="T43" s="36"/>
      <c r="U43" s="36"/>
      <c r="V43" s="36"/>
      <c r="W43" s="32"/>
      <c r="X43" s="32"/>
      <c r="Y43" s="32"/>
      <c r="Z43" s="36"/>
      <c r="AA43" s="36"/>
      <c r="AB43" s="36"/>
      <c r="AC43" s="36"/>
      <c r="AD43" s="36"/>
      <c r="AF43" s="36"/>
      <c r="AG43" s="36"/>
      <c r="AH43" s="36"/>
      <c r="AI43" s="36"/>
      <c r="AJ43" s="36"/>
      <c r="AK43" s="36"/>
      <c r="AL43" s="36"/>
      <c r="AM43" s="36"/>
      <c r="AN43" s="36"/>
      <c r="AO43" s="36"/>
    </row>
    <row r="44" spans="2:41">
      <c r="B44" s="1174"/>
      <c r="C44" s="707"/>
      <c r="D44" s="707"/>
      <c r="E44" s="707"/>
      <c r="F44" s="707"/>
      <c r="G44" s="707"/>
      <c r="H44" s="707"/>
      <c r="I44" s="707"/>
      <c r="J44" s="707"/>
      <c r="K44" s="707"/>
      <c r="L44" s="707"/>
      <c r="M44" s="707"/>
      <c r="N44" s="707"/>
      <c r="O44" s="707"/>
      <c r="P44" s="707"/>
      <c r="Q44" s="707"/>
      <c r="R44" s="707"/>
      <c r="T44" s="36"/>
      <c r="U44" s="36"/>
      <c r="V44" s="36"/>
      <c r="W44" s="32"/>
      <c r="X44" s="32"/>
      <c r="Y44" s="32"/>
      <c r="Z44" s="36"/>
      <c r="AA44" s="36"/>
      <c r="AB44" s="36"/>
      <c r="AC44" s="36"/>
      <c r="AD44" s="36"/>
      <c r="AF44" s="36"/>
      <c r="AG44" s="36"/>
      <c r="AH44" s="36"/>
      <c r="AI44" s="36"/>
      <c r="AJ44" s="36"/>
      <c r="AK44" s="36"/>
      <c r="AL44" s="36"/>
      <c r="AM44" s="36"/>
      <c r="AN44" s="36"/>
      <c r="AO44" s="36"/>
    </row>
    <row r="45" spans="2:41">
      <c r="B45" s="1174"/>
      <c r="C45" s="707"/>
      <c r="D45" s="707"/>
      <c r="E45" s="707"/>
      <c r="F45" s="707"/>
      <c r="G45" s="707"/>
      <c r="H45" s="707"/>
      <c r="I45" s="707"/>
      <c r="J45" s="707"/>
      <c r="K45" s="707"/>
      <c r="L45" s="707"/>
      <c r="M45" s="707"/>
      <c r="N45" s="707"/>
      <c r="O45" s="707"/>
      <c r="P45" s="707"/>
      <c r="Q45" s="707"/>
      <c r="R45" s="707"/>
      <c r="T45" s="36"/>
      <c r="U45" s="36"/>
      <c r="V45" s="36"/>
      <c r="W45" s="32"/>
      <c r="X45" s="32"/>
      <c r="Y45" s="32"/>
      <c r="Z45" s="36"/>
      <c r="AA45" s="36"/>
      <c r="AB45" s="36"/>
      <c r="AC45" s="36"/>
      <c r="AD45" s="36"/>
      <c r="AF45" s="36"/>
      <c r="AG45" s="36"/>
      <c r="AH45" s="36"/>
      <c r="AI45" s="36"/>
      <c r="AJ45" s="36"/>
      <c r="AK45" s="36"/>
      <c r="AL45" s="36"/>
      <c r="AM45" s="36"/>
      <c r="AN45" s="36"/>
      <c r="AO45" s="36"/>
    </row>
    <row r="46" spans="2:41">
      <c r="B46" s="1174"/>
      <c r="C46" s="707"/>
      <c r="D46" s="707"/>
      <c r="E46" s="707"/>
      <c r="F46" s="707"/>
      <c r="G46" s="707"/>
      <c r="H46" s="707"/>
      <c r="I46" s="707"/>
      <c r="J46" s="707"/>
      <c r="K46" s="707"/>
      <c r="L46" s="707"/>
      <c r="M46" s="707"/>
      <c r="N46" s="707"/>
      <c r="O46" s="707"/>
      <c r="P46" s="707"/>
      <c r="Q46" s="707"/>
      <c r="R46" s="707"/>
      <c r="T46" s="36"/>
      <c r="U46" s="36"/>
      <c r="V46" s="36"/>
      <c r="W46" s="32"/>
      <c r="X46" s="32"/>
      <c r="Y46" s="32"/>
      <c r="Z46" s="36"/>
      <c r="AA46" s="36"/>
      <c r="AB46" s="36"/>
      <c r="AC46" s="36"/>
      <c r="AD46" s="36"/>
      <c r="AF46" s="36"/>
      <c r="AG46" s="36"/>
      <c r="AH46" s="36"/>
      <c r="AI46" s="36"/>
      <c r="AJ46" s="36"/>
      <c r="AK46" s="36"/>
      <c r="AL46" s="36"/>
      <c r="AM46" s="36"/>
      <c r="AN46" s="36"/>
      <c r="AO46" s="36"/>
    </row>
    <row r="47" spans="2:41">
      <c r="B47" s="1174"/>
      <c r="C47" s="707"/>
      <c r="D47" s="707"/>
      <c r="E47" s="707"/>
      <c r="F47" s="707"/>
      <c r="G47" s="707"/>
      <c r="H47" s="707"/>
      <c r="I47" s="707"/>
      <c r="J47" s="707"/>
      <c r="K47" s="707"/>
      <c r="L47" s="707"/>
      <c r="M47" s="707"/>
      <c r="N47" s="707"/>
      <c r="O47" s="707"/>
      <c r="P47" s="707"/>
      <c r="Q47" s="707"/>
      <c r="R47" s="707"/>
      <c r="T47" s="36"/>
      <c r="U47" s="36"/>
      <c r="V47" s="36"/>
      <c r="W47" s="32"/>
      <c r="X47" s="32"/>
      <c r="Y47" s="32"/>
      <c r="Z47" s="36"/>
      <c r="AA47" s="36"/>
      <c r="AB47" s="36"/>
      <c r="AC47" s="36"/>
      <c r="AD47" s="36"/>
      <c r="AF47" s="36"/>
      <c r="AG47" s="36"/>
      <c r="AH47" s="36"/>
      <c r="AI47" s="36"/>
      <c r="AJ47" s="36"/>
      <c r="AK47" s="36"/>
      <c r="AL47" s="36"/>
      <c r="AM47" s="36"/>
      <c r="AN47" s="36"/>
      <c r="AO47" s="36"/>
    </row>
    <row r="48" spans="2:41">
      <c r="B48" s="1174"/>
      <c r="C48" s="707"/>
      <c r="D48" s="707"/>
      <c r="E48" s="707"/>
      <c r="F48" s="707"/>
      <c r="G48" s="707"/>
      <c r="H48" s="707"/>
      <c r="I48" s="707"/>
      <c r="J48" s="707"/>
      <c r="K48" s="707"/>
      <c r="L48" s="707"/>
      <c r="M48" s="707"/>
      <c r="N48" s="707"/>
      <c r="O48" s="707"/>
      <c r="P48" s="707"/>
      <c r="Q48" s="707"/>
      <c r="R48" s="707"/>
      <c r="T48" s="36"/>
      <c r="U48" s="36"/>
      <c r="V48" s="36"/>
      <c r="W48" s="32"/>
      <c r="X48" s="32"/>
      <c r="Y48" s="32"/>
      <c r="Z48" s="36"/>
      <c r="AA48" s="36"/>
      <c r="AB48" s="36"/>
      <c r="AC48" s="36"/>
      <c r="AD48" s="36"/>
      <c r="AF48" s="36"/>
      <c r="AG48" s="36"/>
      <c r="AH48" s="36"/>
      <c r="AI48" s="36"/>
      <c r="AJ48" s="36"/>
      <c r="AK48" s="36"/>
      <c r="AL48" s="36"/>
      <c r="AM48" s="36"/>
      <c r="AN48" s="36"/>
      <c r="AO48" s="36"/>
    </row>
    <row r="49" spans="20:41">
      <c r="T49" s="36"/>
      <c r="U49" s="36"/>
      <c r="V49" s="36"/>
      <c r="W49" s="32"/>
      <c r="X49" s="32"/>
      <c r="Y49" s="32"/>
      <c r="Z49" s="36"/>
      <c r="AA49" s="36"/>
      <c r="AB49" s="36"/>
      <c r="AC49" s="36"/>
      <c r="AD49" s="36"/>
      <c r="AF49" s="36"/>
      <c r="AG49" s="36"/>
      <c r="AH49" s="36"/>
      <c r="AI49" s="36"/>
      <c r="AJ49" s="36"/>
      <c r="AK49" s="36"/>
      <c r="AL49" s="36"/>
      <c r="AM49" s="36"/>
      <c r="AN49" s="36"/>
      <c r="AO49" s="36"/>
    </row>
    <row r="50" spans="20:41">
      <c r="T50" s="36"/>
      <c r="U50" s="36"/>
      <c r="V50" s="36"/>
      <c r="W50" s="32"/>
      <c r="X50" s="32"/>
      <c r="Y50" s="32"/>
      <c r="Z50" s="36"/>
      <c r="AA50" s="36"/>
      <c r="AB50" s="36"/>
      <c r="AC50" s="36"/>
      <c r="AD50" s="36"/>
      <c r="AF50" s="36"/>
      <c r="AG50" s="36"/>
      <c r="AH50" s="36"/>
      <c r="AI50" s="36"/>
      <c r="AJ50" s="36"/>
      <c r="AK50" s="36"/>
      <c r="AL50" s="36"/>
      <c r="AM50" s="36"/>
      <c r="AN50" s="36"/>
      <c r="AO50" s="36"/>
    </row>
    <row r="51" spans="20:41">
      <c r="T51" s="36"/>
      <c r="U51" s="36"/>
      <c r="V51" s="36"/>
      <c r="W51" s="32"/>
      <c r="X51" s="32"/>
      <c r="Y51" s="32"/>
      <c r="Z51" s="36"/>
      <c r="AA51" s="36"/>
      <c r="AB51" s="36"/>
      <c r="AC51" s="36"/>
      <c r="AD51" s="36"/>
      <c r="AF51" s="36"/>
      <c r="AG51" s="36"/>
      <c r="AH51" s="36"/>
      <c r="AI51" s="36"/>
      <c r="AJ51" s="36"/>
      <c r="AK51" s="36"/>
      <c r="AL51" s="36"/>
      <c r="AM51" s="36"/>
      <c r="AN51" s="36"/>
      <c r="AO51" s="36"/>
    </row>
    <row r="52" spans="20:41">
      <c r="T52" s="36"/>
      <c r="U52" s="36"/>
      <c r="V52" s="36"/>
      <c r="W52" s="32"/>
      <c r="X52" s="32"/>
      <c r="Y52" s="32"/>
      <c r="Z52" s="36"/>
      <c r="AA52" s="36"/>
      <c r="AB52" s="36"/>
      <c r="AC52" s="36"/>
      <c r="AD52" s="36"/>
      <c r="AF52" s="36"/>
      <c r="AG52" s="36"/>
      <c r="AH52" s="36"/>
      <c r="AI52" s="36"/>
      <c r="AJ52" s="36"/>
      <c r="AK52" s="36"/>
      <c r="AL52" s="36"/>
      <c r="AM52" s="36"/>
      <c r="AN52" s="36"/>
      <c r="AO52" s="36"/>
    </row>
    <row r="53" spans="20:41">
      <c r="T53" s="36"/>
      <c r="U53" s="36"/>
      <c r="V53" s="36"/>
      <c r="W53" s="32"/>
      <c r="X53" s="32"/>
      <c r="Y53" s="32"/>
      <c r="Z53" s="36"/>
      <c r="AA53" s="36"/>
      <c r="AB53" s="36"/>
      <c r="AC53" s="36"/>
      <c r="AD53" s="36"/>
      <c r="AF53" s="36"/>
      <c r="AG53" s="36"/>
      <c r="AH53" s="36"/>
      <c r="AI53" s="36"/>
      <c r="AJ53" s="36"/>
      <c r="AK53" s="36"/>
      <c r="AL53" s="36"/>
      <c r="AM53" s="36"/>
      <c r="AN53" s="36"/>
      <c r="AO53" s="36"/>
    </row>
    <row r="54" spans="20:41">
      <c r="T54" s="36"/>
      <c r="U54" s="36"/>
      <c r="V54" s="36"/>
      <c r="W54" s="32"/>
      <c r="X54" s="32"/>
      <c r="Y54" s="32"/>
      <c r="Z54" s="36"/>
      <c r="AA54" s="36"/>
      <c r="AB54" s="36"/>
      <c r="AC54" s="36"/>
      <c r="AD54" s="36"/>
      <c r="AF54" s="36"/>
      <c r="AG54" s="36"/>
      <c r="AH54" s="36"/>
      <c r="AI54" s="36"/>
      <c r="AJ54" s="36"/>
      <c r="AK54" s="36"/>
      <c r="AL54" s="36"/>
      <c r="AM54" s="36"/>
      <c r="AN54" s="36"/>
      <c r="AO54" s="36"/>
    </row>
    <row r="55" spans="20:41">
      <c r="T55" s="36"/>
      <c r="U55" s="36"/>
      <c r="V55" s="36"/>
      <c r="W55" s="32"/>
      <c r="X55" s="32"/>
      <c r="Y55" s="32"/>
      <c r="Z55" s="36"/>
      <c r="AA55" s="36"/>
      <c r="AB55" s="36"/>
      <c r="AC55" s="36"/>
      <c r="AD55" s="36"/>
      <c r="AF55" s="36"/>
      <c r="AG55" s="36"/>
      <c r="AH55" s="36"/>
      <c r="AI55" s="36"/>
      <c r="AJ55" s="36"/>
      <c r="AK55" s="36"/>
      <c r="AL55" s="36"/>
      <c r="AM55" s="36"/>
      <c r="AN55" s="36"/>
      <c r="AO55" s="36"/>
    </row>
    <row r="56" spans="20:41">
      <c r="T56" s="36"/>
      <c r="U56" s="36"/>
      <c r="V56" s="36"/>
      <c r="W56" s="32"/>
      <c r="X56" s="32"/>
      <c r="Y56" s="32"/>
      <c r="Z56" s="36"/>
      <c r="AA56" s="36"/>
      <c r="AB56" s="36"/>
      <c r="AC56" s="36"/>
      <c r="AD56" s="36"/>
      <c r="AF56" s="36"/>
      <c r="AG56" s="36"/>
      <c r="AH56" s="36"/>
      <c r="AI56" s="36"/>
      <c r="AJ56" s="36"/>
      <c r="AK56" s="36"/>
      <c r="AL56" s="36"/>
      <c r="AM56" s="36"/>
      <c r="AN56" s="36"/>
      <c r="AO56" s="36"/>
    </row>
    <row r="57" spans="20:41">
      <c r="T57" s="36"/>
      <c r="U57" s="36"/>
      <c r="V57" s="36"/>
      <c r="W57" s="32"/>
      <c r="X57" s="32"/>
      <c r="Y57" s="32"/>
      <c r="Z57" s="36"/>
      <c r="AA57" s="36"/>
      <c r="AB57" s="36"/>
      <c r="AC57" s="36"/>
      <c r="AD57" s="36"/>
      <c r="AF57" s="36"/>
      <c r="AG57" s="36"/>
      <c r="AH57" s="36"/>
      <c r="AI57" s="36"/>
      <c r="AJ57" s="36"/>
      <c r="AK57" s="36"/>
      <c r="AL57" s="36"/>
      <c r="AM57" s="36"/>
      <c r="AN57" s="36"/>
      <c r="AO57" s="36"/>
    </row>
    <row r="58" spans="20:41">
      <c r="T58" s="36"/>
      <c r="U58" s="36"/>
      <c r="V58" s="36"/>
      <c r="W58" s="32"/>
      <c r="X58" s="32"/>
      <c r="Y58" s="32"/>
      <c r="Z58" s="36"/>
      <c r="AA58" s="36"/>
      <c r="AB58" s="36"/>
      <c r="AC58" s="36"/>
      <c r="AD58" s="36"/>
      <c r="AF58" s="36"/>
      <c r="AG58" s="36"/>
      <c r="AH58" s="36"/>
      <c r="AI58" s="36"/>
      <c r="AJ58" s="36"/>
      <c r="AK58" s="36"/>
      <c r="AL58" s="36"/>
      <c r="AM58" s="36"/>
      <c r="AN58" s="36"/>
      <c r="AO58" s="36"/>
    </row>
    <row r="59" spans="20:41">
      <c r="T59" s="36"/>
      <c r="U59" s="36"/>
      <c r="V59" s="36"/>
      <c r="W59" s="32"/>
      <c r="X59" s="32"/>
      <c r="Y59" s="32"/>
      <c r="Z59" s="36"/>
      <c r="AA59" s="36"/>
      <c r="AB59" s="36"/>
      <c r="AC59" s="36"/>
      <c r="AD59" s="36"/>
      <c r="AF59" s="36"/>
      <c r="AG59" s="36"/>
      <c r="AH59" s="36"/>
      <c r="AI59" s="36"/>
      <c r="AJ59" s="36"/>
      <c r="AK59" s="36"/>
      <c r="AL59" s="36"/>
      <c r="AM59" s="36"/>
      <c r="AN59" s="36"/>
      <c r="AO59" s="36"/>
    </row>
    <row r="60" spans="20:41">
      <c r="T60" s="36"/>
      <c r="U60" s="36"/>
      <c r="V60" s="36"/>
      <c r="W60" s="32"/>
      <c r="X60" s="32"/>
      <c r="Y60" s="32"/>
      <c r="Z60" s="36"/>
      <c r="AA60" s="36"/>
      <c r="AB60" s="36"/>
      <c r="AC60" s="36"/>
      <c r="AD60" s="36"/>
      <c r="AF60" s="36"/>
      <c r="AG60" s="36"/>
      <c r="AH60" s="36"/>
      <c r="AI60" s="36"/>
      <c r="AJ60" s="36"/>
      <c r="AK60" s="36"/>
      <c r="AL60" s="36"/>
      <c r="AM60" s="36"/>
      <c r="AN60" s="36"/>
      <c r="AO60" s="36"/>
    </row>
    <row r="61" spans="20:41">
      <c r="T61" s="36"/>
      <c r="U61" s="36"/>
      <c r="V61" s="36"/>
      <c r="W61" s="32"/>
      <c r="X61" s="32"/>
      <c r="Y61" s="32"/>
      <c r="Z61" s="36"/>
      <c r="AA61" s="36"/>
      <c r="AB61" s="36"/>
      <c r="AC61" s="36"/>
      <c r="AD61" s="36"/>
      <c r="AF61" s="36"/>
      <c r="AG61" s="36"/>
      <c r="AH61" s="36"/>
      <c r="AI61" s="36"/>
      <c r="AJ61" s="36"/>
      <c r="AK61" s="36"/>
      <c r="AL61" s="36"/>
      <c r="AM61" s="36"/>
      <c r="AN61" s="36"/>
      <c r="AO61" s="36"/>
    </row>
    <row r="62" spans="20:41">
      <c r="T62" s="36"/>
      <c r="U62" s="36"/>
      <c r="V62" s="36"/>
      <c r="W62" s="32"/>
      <c r="X62" s="32"/>
      <c r="Y62" s="32"/>
      <c r="Z62" s="36"/>
      <c r="AA62" s="36"/>
      <c r="AB62" s="36"/>
      <c r="AC62" s="36"/>
      <c r="AD62" s="36"/>
      <c r="AF62" s="36"/>
      <c r="AG62" s="36"/>
      <c r="AH62" s="36"/>
      <c r="AI62" s="36"/>
      <c r="AJ62" s="36"/>
      <c r="AK62" s="36"/>
      <c r="AL62" s="36"/>
      <c r="AM62" s="36"/>
      <c r="AN62" s="36"/>
      <c r="AO62" s="36"/>
    </row>
    <row r="63" spans="20:41">
      <c r="T63" s="36"/>
      <c r="U63" s="36"/>
      <c r="V63" s="36"/>
      <c r="W63" s="32"/>
      <c r="X63" s="32"/>
      <c r="Y63" s="32"/>
      <c r="Z63" s="36"/>
      <c r="AA63" s="36"/>
      <c r="AB63" s="36"/>
      <c r="AC63" s="36"/>
      <c r="AD63" s="36"/>
      <c r="AF63" s="36"/>
      <c r="AG63" s="36"/>
      <c r="AH63" s="36"/>
      <c r="AI63" s="36"/>
      <c r="AJ63" s="36"/>
      <c r="AK63" s="36"/>
      <c r="AL63" s="36"/>
      <c r="AM63" s="36"/>
      <c r="AN63" s="36"/>
      <c r="AO63" s="36"/>
    </row>
    <row r="64" spans="20:41">
      <c r="T64" s="36"/>
      <c r="U64" s="36"/>
      <c r="V64" s="36"/>
      <c r="W64" s="32"/>
      <c r="X64" s="32"/>
      <c r="Y64" s="32"/>
      <c r="Z64" s="36"/>
      <c r="AA64" s="36"/>
      <c r="AB64" s="36"/>
      <c r="AC64" s="36"/>
      <c r="AD64" s="36"/>
      <c r="AF64" s="36"/>
      <c r="AG64" s="36"/>
      <c r="AH64" s="36"/>
      <c r="AI64" s="36"/>
      <c r="AJ64" s="36"/>
      <c r="AK64" s="36"/>
      <c r="AL64" s="36"/>
      <c r="AM64" s="36"/>
      <c r="AN64" s="36"/>
      <c r="AO64" s="36"/>
    </row>
    <row r="65" spans="20:41">
      <c r="T65" s="36"/>
      <c r="U65" s="36"/>
      <c r="V65" s="36"/>
      <c r="W65" s="32"/>
      <c r="X65" s="32"/>
      <c r="Y65" s="32"/>
      <c r="Z65" s="36"/>
      <c r="AA65" s="36"/>
      <c r="AB65" s="36"/>
      <c r="AC65" s="36"/>
      <c r="AD65" s="36"/>
      <c r="AF65" s="36"/>
      <c r="AG65" s="36"/>
      <c r="AH65" s="36"/>
      <c r="AI65" s="36"/>
      <c r="AJ65" s="36"/>
      <c r="AK65" s="36"/>
      <c r="AL65" s="36"/>
      <c r="AM65" s="36"/>
      <c r="AN65" s="36"/>
      <c r="AO65" s="36"/>
    </row>
    <row r="66" spans="20:41">
      <c r="T66" s="36"/>
      <c r="U66" s="36"/>
      <c r="V66" s="36"/>
      <c r="W66" s="32"/>
      <c r="X66" s="32"/>
      <c r="Y66" s="32"/>
      <c r="Z66" s="36"/>
      <c r="AA66" s="36"/>
      <c r="AB66" s="36"/>
      <c r="AC66" s="36"/>
      <c r="AD66" s="36"/>
      <c r="AF66" s="36"/>
      <c r="AG66" s="36"/>
      <c r="AH66" s="36"/>
      <c r="AI66" s="36"/>
      <c r="AJ66" s="36"/>
      <c r="AK66" s="36"/>
      <c r="AL66" s="36"/>
      <c r="AM66" s="36"/>
      <c r="AN66" s="36"/>
      <c r="AO66" s="36"/>
    </row>
    <row r="67" spans="20:41">
      <c r="T67" s="36"/>
      <c r="U67" s="36"/>
      <c r="V67" s="36"/>
      <c r="W67" s="32"/>
      <c r="X67" s="32"/>
      <c r="Y67" s="32"/>
      <c r="Z67" s="36"/>
      <c r="AA67" s="36"/>
      <c r="AB67" s="36"/>
      <c r="AC67" s="36"/>
      <c r="AD67" s="36"/>
      <c r="AF67" s="36"/>
      <c r="AG67" s="36"/>
      <c r="AH67" s="36"/>
      <c r="AI67" s="36"/>
      <c r="AJ67" s="36"/>
      <c r="AK67" s="36"/>
      <c r="AL67" s="36"/>
      <c r="AM67" s="36"/>
      <c r="AN67" s="36"/>
      <c r="AO67" s="36"/>
    </row>
    <row r="68" spans="20:41">
      <c r="T68" s="36"/>
      <c r="U68" s="36"/>
      <c r="V68" s="36"/>
      <c r="W68" s="32"/>
      <c r="X68" s="32"/>
      <c r="Y68" s="32"/>
      <c r="Z68" s="36"/>
      <c r="AA68" s="36"/>
      <c r="AB68" s="36"/>
      <c r="AC68" s="36"/>
      <c r="AD68" s="36"/>
      <c r="AF68" s="36"/>
      <c r="AG68" s="36"/>
      <c r="AH68" s="36"/>
      <c r="AI68" s="36"/>
      <c r="AJ68" s="36"/>
      <c r="AK68" s="36"/>
      <c r="AL68" s="36"/>
      <c r="AM68" s="36"/>
      <c r="AN68" s="36"/>
      <c r="AO68" s="36"/>
    </row>
    <row r="69" spans="20:41">
      <c r="T69" s="36"/>
      <c r="U69" s="36"/>
      <c r="V69" s="36"/>
      <c r="W69" s="32"/>
      <c r="X69" s="32"/>
      <c r="Y69" s="32"/>
      <c r="Z69" s="36"/>
      <c r="AA69" s="36"/>
      <c r="AB69" s="36"/>
      <c r="AC69" s="36"/>
      <c r="AD69" s="36"/>
      <c r="AF69" s="36"/>
      <c r="AG69" s="36"/>
      <c r="AH69" s="36"/>
      <c r="AI69" s="36"/>
      <c r="AJ69" s="36"/>
      <c r="AK69" s="36"/>
      <c r="AL69" s="36"/>
      <c r="AM69" s="36"/>
      <c r="AN69" s="36"/>
      <c r="AO69" s="36"/>
    </row>
    <row r="70" spans="20:41">
      <c r="T70" s="36"/>
      <c r="U70" s="36"/>
      <c r="V70" s="36"/>
      <c r="W70" s="32"/>
      <c r="X70" s="32"/>
      <c r="Y70" s="32"/>
      <c r="Z70" s="36"/>
      <c r="AA70" s="36"/>
      <c r="AB70" s="36"/>
      <c r="AC70" s="36"/>
      <c r="AD70" s="36"/>
      <c r="AF70" s="36"/>
      <c r="AG70" s="36"/>
      <c r="AH70" s="36"/>
      <c r="AI70" s="36"/>
      <c r="AJ70" s="36"/>
      <c r="AK70" s="36"/>
      <c r="AL70" s="36"/>
      <c r="AM70" s="36"/>
      <c r="AN70" s="36"/>
      <c r="AO70" s="36"/>
    </row>
    <row r="71" spans="20:41">
      <c r="T71" s="36"/>
      <c r="U71" s="36"/>
      <c r="V71" s="36"/>
      <c r="W71" s="32"/>
      <c r="X71" s="32"/>
      <c r="Y71" s="32"/>
      <c r="Z71" s="36"/>
      <c r="AA71" s="36"/>
      <c r="AB71" s="36"/>
      <c r="AC71" s="36"/>
      <c r="AD71" s="36"/>
      <c r="AF71" s="36"/>
      <c r="AG71" s="36"/>
      <c r="AH71" s="36"/>
      <c r="AI71" s="36"/>
      <c r="AJ71" s="36"/>
      <c r="AK71" s="36"/>
      <c r="AL71" s="36"/>
      <c r="AM71" s="36"/>
      <c r="AN71" s="36"/>
      <c r="AO71" s="36"/>
    </row>
  </sheetData>
  <mergeCells count="4">
    <mergeCell ref="BC2:BC3"/>
    <mergeCell ref="BD2:BD3"/>
    <mergeCell ref="BE2:BE3"/>
    <mergeCell ref="BF2:BF3"/>
  </mergeCells>
  <pageMargins left="0.70866141732283472" right="0.70866141732283472" top="0.74803149606299213" bottom="0.74803149606299213" header="0.31496062992125984" footer="0.31496062992125984"/>
  <pageSetup paperSize="9" scale="23" orientation="landscape" horizontalDpi="4294967293" verticalDpi="300" r:id="rId1"/>
  <customProperties>
    <customPr name="ORB_SHEETNAME" r:id="rId2"/>
  </customProperties>
  <drawing r:id="rId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8902F-4476-4455-936A-B7ADFB301562}">
  <sheetPr>
    <pageSetUpPr fitToPage="1"/>
  </sheetPr>
  <dimension ref="A1:E17"/>
  <sheetViews>
    <sheetView zoomScaleNormal="100" workbookViewId="0">
      <selection activeCell="C14" sqref="C14"/>
    </sheetView>
  </sheetViews>
  <sheetFormatPr defaultColWidth="8.7109375" defaultRowHeight="15.75"/>
  <cols>
    <col min="1" max="1" width="3.7109375" style="34" customWidth="1"/>
    <col min="2" max="2" width="54.42578125" style="34" bestFit="1" customWidth="1"/>
    <col min="3" max="3" width="15.28515625" style="34" customWidth="1"/>
    <col min="4" max="4" width="53.28515625" style="32" bestFit="1" customWidth="1"/>
    <col min="5" max="5" width="8.7109375" style="32"/>
    <col min="6" max="16384" width="8.7109375" style="34"/>
  </cols>
  <sheetData>
    <row r="1" spans="1:5">
      <c r="A1" s="500"/>
      <c r="B1" s="601"/>
      <c r="C1" s="602"/>
      <c r="D1" s="603"/>
      <c r="E1" s="603"/>
    </row>
    <row r="2" spans="1:5" ht="21">
      <c r="A2" s="500"/>
      <c r="B2" s="608" t="s">
        <v>854</v>
      </c>
      <c r="C2" s="601"/>
      <c r="D2" s="603"/>
      <c r="E2" s="603"/>
    </row>
    <row r="3" spans="1:5" ht="16.5" thickBot="1">
      <c r="A3" s="500"/>
      <c r="B3" s="601"/>
      <c r="C3" s="602"/>
      <c r="D3" s="603"/>
      <c r="E3" s="603"/>
    </row>
    <row r="4" spans="1:5" ht="16.5" thickBot="1">
      <c r="A4" s="604"/>
      <c r="B4" s="605" t="s">
        <v>855</v>
      </c>
      <c r="C4" s="326" t="s">
        <v>856</v>
      </c>
      <c r="D4" s="604"/>
      <c r="E4" s="604"/>
    </row>
    <row r="5" spans="1:5">
      <c r="A5" s="604"/>
      <c r="B5" s="606"/>
      <c r="C5" s="604"/>
      <c r="D5" s="604"/>
      <c r="E5" s="604"/>
    </row>
    <row r="6" spans="1:5" ht="16.5" thickBot="1">
      <c r="A6" s="604"/>
      <c r="B6" s="606"/>
      <c r="C6" s="604"/>
      <c r="D6" s="604"/>
      <c r="E6" s="604"/>
    </row>
    <row r="7" spans="1:5">
      <c r="A7" s="604"/>
      <c r="B7" s="606" t="s">
        <v>857</v>
      </c>
      <c r="C7" s="327">
        <v>764</v>
      </c>
      <c r="D7" s="604"/>
      <c r="E7" s="604"/>
    </row>
    <row r="8" spans="1:5" ht="31.5">
      <c r="A8" s="604"/>
      <c r="B8" s="605" t="s">
        <v>858</v>
      </c>
      <c r="C8" s="328">
        <v>8</v>
      </c>
      <c r="D8" s="607" t="s">
        <v>859</v>
      </c>
      <c r="E8" s="604"/>
    </row>
    <row r="9" spans="1:5" ht="16.5" thickBot="1">
      <c r="A9" s="604"/>
      <c r="B9" s="606" t="s">
        <v>860</v>
      </c>
      <c r="C9" s="329">
        <v>1234</v>
      </c>
      <c r="D9" s="604"/>
      <c r="E9" s="604"/>
    </row>
    <row r="10" spans="1:5">
      <c r="A10" s="604"/>
      <c r="B10" s="606"/>
      <c r="C10" s="604"/>
      <c r="D10" s="604"/>
      <c r="E10" s="604"/>
    </row>
    <row r="11" spans="1:5" ht="16.5" thickBot="1">
      <c r="A11" s="604"/>
      <c r="B11" s="606"/>
      <c r="C11" s="604"/>
      <c r="D11" s="604"/>
      <c r="E11" s="1005"/>
    </row>
    <row r="12" spans="1:5">
      <c r="A12" s="604"/>
      <c r="B12" s="606" t="s">
        <v>861</v>
      </c>
      <c r="C12" s="336">
        <f>+C9/+C7</f>
        <v>1.6151832460732984</v>
      </c>
      <c r="D12" s="606" t="s">
        <v>862</v>
      </c>
      <c r="E12" s="604"/>
    </row>
    <row r="13" spans="1:5">
      <c r="A13" s="604"/>
      <c r="B13" s="606" t="s">
        <v>863</v>
      </c>
      <c r="C13" s="337">
        <f>+C9/+(C7*C8)</f>
        <v>0.2018979057591623</v>
      </c>
      <c r="D13" s="606" t="s">
        <v>864</v>
      </c>
      <c r="E13" s="604"/>
    </row>
    <row r="14" spans="1:5">
      <c r="A14" s="604"/>
      <c r="B14" s="606" t="s">
        <v>865</v>
      </c>
      <c r="C14" s="332">
        <f>+(+C9/+(+C8*C7))*1000000</f>
        <v>201897.9057591623</v>
      </c>
      <c r="D14" s="606" t="s">
        <v>866</v>
      </c>
      <c r="E14" s="604"/>
    </row>
    <row r="15" spans="1:5" hidden="1">
      <c r="A15" s="604"/>
      <c r="B15" s="606" t="s">
        <v>867</v>
      </c>
      <c r="C15" s="330">
        <v>1.5</v>
      </c>
      <c r="D15" s="606" t="s">
        <v>868</v>
      </c>
      <c r="E15" s="604"/>
    </row>
    <row r="16" spans="1:5" ht="16.5" thickBot="1">
      <c r="A16" s="604"/>
      <c r="B16" s="606" t="s">
        <v>869</v>
      </c>
      <c r="C16" s="331">
        <f>(NORMSINV(1-C13))+C15</f>
        <v>2.3348612912855877</v>
      </c>
      <c r="D16" s="606" t="s">
        <v>870</v>
      </c>
      <c r="E16" s="604"/>
    </row>
    <row r="17" spans="1:5">
      <c r="A17" s="604"/>
      <c r="B17" s="606"/>
      <c r="C17" s="604"/>
      <c r="D17" s="604"/>
      <c r="E17" s="604"/>
    </row>
  </sheetData>
  <pageMargins left="0.70866141732283472" right="0.70866141732283472" top="0.74803149606299213" bottom="0.74803149606299213" header="0.31496062992125984" footer="0.31496062992125984"/>
  <pageSetup paperSize="9" scale="96" orientation="landscape" horizontalDpi="0" verticalDpi="0"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0FE63-D786-4EAC-8C6A-1CBBB9E33868}">
  <sheetPr>
    <pageSetUpPr fitToPage="1"/>
  </sheetPr>
  <dimension ref="A1:Y27"/>
  <sheetViews>
    <sheetView topLeftCell="A4" zoomScale="120" zoomScaleNormal="120" zoomScaleSheetLayoutView="100" workbookViewId="0">
      <selection activeCell="E8" sqref="E8"/>
    </sheetView>
  </sheetViews>
  <sheetFormatPr defaultColWidth="8.7109375" defaultRowHeight="15"/>
  <cols>
    <col min="1" max="1" width="8.7109375" style="9"/>
    <col min="2" max="2" width="16.42578125" style="9" customWidth="1"/>
    <col min="3" max="4" width="20.28515625" style="9" customWidth="1"/>
    <col min="5" max="5" width="20.7109375" style="9" customWidth="1"/>
    <col min="6" max="6" width="21.140625" style="9" customWidth="1"/>
    <col min="7" max="8" width="11" style="9" customWidth="1"/>
    <col min="9" max="13" width="8.7109375" style="9"/>
    <col min="14" max="14" width="13.42578125" style="9" customWidth="1"/>
    <col min="15" max="16384" width="8.7109375" style="9"/>
  </cols>
  <sheetData>
    <row r="1" spans="1:25" s="27" customFormat="1" ht="30" customHeight="1">
      <c r="A1" s="1320" t="s">
        <v>871</v>
      </c>
      <c r="B1" s="1321"/>
      <c r="C1" s="593" t="s">
        <v>872</v>
      </c>
      <c r="D1" s="594" t="s">
        <v>873</v>
      </c>
      <c r="E1" s="594" t="s">
        <v>874</v>
      </c>
      <c r="F1" s="594" t="s">
        <v>875</v>
      </c>
      <c r="G1" s="594" t="s">
        <v>876</v>
      </c>
      <c r="H1" s="595" t="s">
        <v>877</v>
      </c>
      <c r="I1" s="26"/>
      <c r="J1" s="26"/>
      <c r="K1" s="26"/>
      <c r="L1" s="26"/>
      <c r="M1" s="26"/>
      <c r="N1" s="26"/>
      <c r="O1" s="26"/>
      <c r="P1" s="26"/>
      <c r="Q1" s="26"/>
      <c r="R1" s="26"/>
      <c r="S1" s="26"/>
      <c r="T1" s="26"/>
      <c r="U1" s="26"/>
      <c r="V1" s="26"/>
      <c r="W1" s="26"/>
      <c r="X1" s="26"/>
      <c r="Y1" s="26"/>
    </row>
    <row r="2" spans="1:25">
      <c r="A2" s="1322" t="s">
        <v>878</v>
      </c>
      <c r="B2" s="1323"/>
      <c r="C2" s="15" t="s">
        <v>879</v>
      </c>
      <c r="D2" s="11" t="s">
        <v>880</v>
      </c>
      <c r="E2" s="11" t="s">
        <v>881</v>
      </c>
      <c r="F2" s="12" t="s">
        <v>882</v>
      </c>
      <c r="G2" s="12" t="s">
        <v>883</v>
      </c>
      <c r="H2" s="13"/>
    </row>
    <row r="3" spans="1:25">
      <c r="A3" s="1324" t="s">
        <v>884</v>
      </c>
      <c r="B3" s="1325"/>
      <c r="C3" s="15">
        <v>10</v>
      </c>
      <c r="D3" s="11">
        <v>8</v>
      </c>
      <c r="E3" s="11">
        <v>5</v>
      </c>
      <c r="F3" s="12"/>
      <c r="G3" s="12"/>
      <c r="H3" s="13"/>
    </row>
    <row r="4" spans="1:25" s="10" customFormat="1" ht="34.9" customHeight="1">
      <c r="A4" s="1324" t="s">
        <v>885</v>
      </c>
      <c r="B4" s="1325"/>
      <c r="C4" s="393" t="s">
        <v>886</v>
      </c>
      <c r="D4" s="394" t="s">
        <v>887</v>
      </c>
      <c r="E4" s="394" t="s">
        <v>888</v>
      </c>
      <c r="F4" s="14"/>
      <c r="G4" s="14"/>
      <c r="H4" s="5"/>
    </row>
    <row r="5" spans="1:25">
      <c r="A5" s="1326" t="s">
        <v>889</v>
      </c>
      <c r="B5" s="596" t="s">
        <v>224</v>
      </c>
      <c r="C5" s="18"/>
      <c r="D5" s="18">
        <v>3</v>
      </c>
      <c r="E5" s="18"/>
      <c r="F5" s="14"/>
      <c r="G5" s="14"/>
      <c r="H5" s="5"/>
    </row>
    <row r="6" spans="1:25">
      <c r="A6" s="1326"/>
      <c r="B6" s="596" t="s">
        <v>225</v>
      </c>
      <c r="C6" s="18">
        <v>5</v>
      </c>
      <c r="D6" s="18">
        <v>4</v>
      </c>
      <c r="E6" s="19">
        <v>0.8</v>
      </c>
      <c r="F6" s="14"/>
      <c r="G6" s="14"/>
      <c r="H6" s="5"/>
    </row>
    <row r="7" spans="1:25">
      <c r="A7" s="1326"/>
      <c r="B7" s="596" t="s">
        <v>226</v>
      </c>
      <c r="C7" s="18">
        <v>8</v>
      </c>
      <c r="D7" s="18"/>
      <c r="E7" s="18"/>
      <c r="F7" s="14"/>
      <c r="G7" s="14"/>
      <c r="H7" s="5"/>
    </row>
    <row r="8" spans="1:25" ht="30" customHeight="1" thickBot="1">
      <c r="A8" s="1318" t="s">
        <v>890</v>
      </c>
      <c r="B8" s="1319"/>
      <c r="C8" s="20">
        <v>1.5</v>
      </c>
      <c r="D8" s="20"/>
      <c r="E8" s="20">
        <v>3</v>
      </c>
      <c r="F8" s="14"/>
      <c r="G8" s="14"/>
      <c r="H8" s="5"/>
    </row>
    <row r="9" spans="1:25">
      <c r="A9" s="1312" t="s">
        <v>891</v>
      </c>
      <c r="B9" s="21" t="s">
        <v>892</v>
      </c>
      <c r="C9" s="22">
        <v>10</v>
      </c>
      <c r="D9" s="22">
        <v>3.2</v>
      </c>
      <c r="E9" s="22"/>
      <c r="F9" s="23"/>
      <c r="G9" s="23"/>
      <c r="H9" s="24"/>
    </row>
    <row r="10" spans="1:25">
      <c r="A10" s="1313"/>
      <c r="B10" s="16" t="s">
        <v>597</v>
      </c>
      <c r="C10" s="17">
        <v>3</v>
      </c>
      <c r="D10" s="17">
        <v>1</v>
      </c>
      <c r="E10" s="17"/>
      <c r="F10" s="3"/>
      <c r="G10" s="3"/>
      <c r="H10" s="7"/>
    </row>
    <row r="11" spans="1:25">
      <c r="A11" s="1313"/>
      <c r="B11" s="16" t="s">
        <v>893</v>
      </c>
      <c r="C11" s="17"/>
      <c r="D11" s="17"/>
      <c r="E11" s="1004"/>
      <c r="F11" s="3"/>
      <c r="G11" s="3"/>
      <c r="H11" s="7"/>
    </row>
    <row r="12" spans="1:25">
      <c r="A12" s="1313"/>
      <c r="B12" s="16" t="s">
        <v>894</v>
      </c>
      <c r="C12" s="333">
        <v>50</v>
      </c>
      <c r="D12" s="333"/>
      <c r="E12" s="333"/>
      <c r="F12" s="3"/>
      <c r="G12" s="3"/>
      <c r="H12" s="7"/>
    </row>
    <row r="13" spans="1:25">
      <c r="A13" s="1313"/>
      <c r="B13" s="16" t="s">
        <v>895</v>
      </c>
      <c r="C13" s="333"/>
      <c r="D13" s="333"/>
      <c r="E13" s="333">
        <v>500000</v>
      </c>
      <c r="F13" s="3"/>
      <c r="G13" s="3"/>
      <c r="H13" s="7"/>
    </row>
    <row r="14" spans="1:25">
      <c r="A14" s="1313"/>
      <c r="B14" s="334" t="s">
        <v>896</v>
      </c>
      <c r="C14" s="391" t="str">
        <f>IF(OR(C5="", C13&lt;&gt;""), "", (C9-C$5)/C10)</f>
        <v/>
      </c>
      <c r="D14" s="391">
        <f>IF(OR(D5="", D13&lt;&gt;""), "", (D9-D$5)/D10)</f>
        <v>0.20000000000000018</v>
      </c>
      <c r="E14" s="391" t="str">
        <f>IF(OR(E5="", E13&lt;&gt;""), "", (E9-E$5)/E10)</f>
        <v/>
      </c>
      <c r="F14" s="3"/>
      <c r="G14" s="3"/>
      <c r="H14" s="7"/>
    </row>
    <row r="15" spans="1:25">
      <c r="A15" s="1313"/>
      <c r="B15" s="334" t="s">
        <v>897</v>
      </c>
      <c r="C15" s="391">
        <f>IF(OR(C7="", C13&lt;&gt;""), "", (C$7-C9)/C10)</f>
        <v>-0.66666666666666663</v>
      </c>
      <c r="D15" s="391" t="str">
        <f>IF(OR(D7="", D13&lt;&gt;""), "", (D$7-D9)/D10)</f>
        <v/>
      </c>
      <c r="E15" s="391" t="str">
        <f>IF(OR(E7="", E13&lt;&gt;""), "", (E$7-E9)/E10)</f>
        <v/>
      </c>
      <c r="F15" s="3"/>
      <c r="G15" s="3"/>
      <c r="H15" s="7"/>
    </row>
    <row r="16" spans="1:25" ht="21" thickBot="1">
      <c r="A16" s="1313"/>
      <c r="B16" s="16" t="s">
        <v>898</v>
      </c>
      <c r="C16" s="392">
        <f>IF(C13&lt;&gt;"", (NORMSINV(1-(C$13/1000000)))+1.5, MIN(IF(C$5&lt;&gt;"",((C9-C$5)/C10),IF(C$7&lt;&gt;"",((C$7-C9)/C10),""))))</f>
        <v>-0.66666666666666663</v>
      </c>
      <c r="D16" s="392">
        <f>IF(D13&lt;&gt;"", (NORMSINV(1-(D$13/1000000)))+1.5, MIN(IF(D$5&lt;&gt;"",((D9-D$5)/D10),IF(D$7&lt;&gt;"",((D$7-D9)/D10),""))))</f>
        <v>0.20000000000000018</v>
      </c>
      <c r="E16" s="392">
        <f>IF(E13&lt;&gt;"", (NORMSINV(1-(E$13/1000000)))+1.5, MIN(IF(E$5&lt;&gt;"",((E9-E$5)/E10),IF(E$7&lt;&gt;"",((E$7-E9)/E10),""))))</f>
        <v>1.5</v>
      </c>
      <c r="F16" s="335"/>
      <c r="G16" s="3"/>
      <c r="H16" s="7"/>
    </row>
    <row r="17" spans="1:8" ht="15.75" thickBot="1">
      <c r="A17" s="1314"/>
      <c r="B17" s="25" t="s">
        <v>899</v>
      </c>
      <c r="C17" s="392">
        <f>IF(C13&lt;&gt;"", (NORMSINV(1-(C$13/1000000)))+1.5, MIN(IF(C$5&lt;&gt;"",((C9-C$5)/(3*C10)),IF(C$7&lt;&gt;"",((C$7-C9)/(3*C10)),""))))</f>
        <v>-0.22222222222222221</v>
      </c>
      <c r="D17" s="392">
        <f>IF(D13&lt;&gt;"", (NORMSINV(1-(D$13/1000000)))+1.5, MIN(IF(D$5&lt;&gt;"",((D9-D$5)/(3*D10)),IF(D$7&lt;&gt;"",((D$7-D9)/(3*D10)),""))))</f>
        <v>6.6666666666666721E-2</v>
      </c>
      <c r="E17" s="392">
        <f>IF(E13&lt;&gt;"", (NORMSINV(1-(E$13/1000000)))+1.5, MIN(IF(E$5&lt;&gt;"",((E9-E$5)/(3*E10)),IF(E$7&lt;&gt;"",((E$7-E9)/(3*E10)),""))))</f>
        <v>1.5</v>
      </c>
      <c r="F17" s="4"/>
      <c r="G17" s="4"/>
      <c r="H17" s="8"/>
    </row>
    <row r="18" spans="1:8">
      <c r="A18" s="1315" t="s">
        <v>900</v>
      </c>
      <c r="B18" s="597" t="s">
        <v>892</v>
      </c>
      <c r="C18" s="389">
        <v>5</v>
      </c>
      <c r="D18" s="389">
        <v>3.8</v>
      </c>
      <c r="E18" s="389"/>
      <c r="F18" s="2"/>
      <c r="G18" s="2"/>
      <c r="H18" s="6"/>
    </row>
    <row r="19" spans="1:8">
      <c r="A19" s="1316"/>
      <c r="B19" s="598" t="s">
        <v>597</v>
      </c>
      <c r="C19" s="390">
        <v>1</v>
      </c>
      <c r="D19" s="390">
        <v>1</v>
      </c>
      <c r="E19" s="390"/>
      <c r="F19" s="3"/>
      <c r="G19" s="3"/>
      <c r="H19" s="7"/>
    </row>
    <row r="20" spans="1:8">
      <c r="A20" s="1316"/>
      <c r="B20" s="598" t="s">
        <v>893</v>
      </c>
      <c r="C20" s="390"/>
      <c r="D20" s="390"/>
      <c r="E20" s="390"/>
      <c r="F20" s="3"/>
      <c r="G20" s="3"/>
      <c r="H20" s="7"/>
    </row>
    <row r="21" spans="1:8">
      <c r="A21" s="1316"/>
      <c r="B21" s="598" t="s">
        <v>894</v>
      </c>
      <c r="C21" s="390">
        <v>50</v>
      </c>
      <c r="D21" s="390"/>
      <c r="E21" s="390"/>
      <c r="F21" s="3"/>
      <c r="G21" s="3"/>
      <c r="H21" s="7"/>
    </row>
    <row r="22" spans="1:8">
      <c r="A22" s="1316"/>
      <c r="B22" s="598" t="s">
        <v>895</v>
      </c>
      <c r="C22" s="390"/>
      <c r="D22" s="390"/>
      <c r="E22" s="333">
        <v>120000</v>
      </c>
      <c r="F22" s="3"/>
      <c r="G22" s="3"/>
      <c r="H22" s="7"/>
    </row>
    <row r="23" spans="1:8">
      <c r="A23" s="1316"/>
      <c r="B23" s="599" t="s">
        <v>896</v>
      </c>
      <c r="C23" s="391" t="str">
        <f>IF(OR(C14="", C22&lt;&gt;""), "", (C18-C$5)/C19)</f>
        <v/>
      </c>
      <c r="D23" s="391">
        <f>IF(OR(D14="", D22&lt;&gt;""), "", (D18-D$5)/D19)</f>
        <v>0.79999999999999982</v>
      </c>
      <c r="E23" s="391" t="str">
        <f>IF(OR(E14="", E22&lt;&gt;""), "", (E18-E$5)/E19)</f>
        <v/>
      </c>
      <c r="F23" s="3"/>
      <c r="G23" s="3"/>
      <c r="H23" s="7"/>
    </row>
    <row r="24" spans="1:8">
      <c r="A24" s="1316"/>
      <c r="B24" s="599" t="s">
        <v>897</v>
      </c>
      <c r="C24" s="391">
        <f>IF(OR(C16="", C22&lt;&gt;""), "", (C$7-C18)/C19)</f>
        <v>3</v>
      </c>
      <c r="D24" s="391">
        <f>IF(OR(D16="", D22&lt;&gt;""), "", (D$7-D18)/D19)</f>
        <v>-3.8</v>
      </c>
      <c r="E24" s="391" t="str">
        <f>IF(OR(E16="", E22&lt;&gt;""), "", (E$7-E18)/E19)</f>
        <v/>
      </c>
      <c r="F24" s="3"/>
      <c r="G24" s="3"/>
      <c r="H24" s="7"/>
    </row>
    <row r="25" spans="1:8" ht="15.75" thickBot="1">
      <c r="A25" s="1316"/>
      <c r="B25" s="598" t="s">
        <v>898</v>
      </c>
      <c r="C25" s="388">
        <f>IF(C22&lt;&gt;"", (NORMSINV(1-(C$13/1000000)))+1.5, MIN(IF(C$5&lt;&gt;"",((C18-C$5)/C19),IF(C18&lt;&gt;"",((C$7-C18)/C19),""))))</f>
        <v>3</v>
      </c>
      <c r="D25" s="388">
        <f>IF(D22&lt;&gt;"", (NORMSINV(1-(D$13/1000000)))+1.5, MIN(IF(D$5&lt;&gt;"",((D18-D$5)/D19),IF(D18&lt;&gt;"",((D$7-D18)/D19),""))))</f>
        <v>0.79999999999999982</v>
      </c>
      <c r="E25" s="388">
        <f>IF(E22&lt;&gt;"", (NORMSINV(1-(E$22/1000000)))+1.5, MIN(IF(E$5&lt;&gt;"",((E18-E$5)/E19),IF(E18&lt;&gt;"",((E$7-E18)/E19),""))))</f>
        <v>2.6749867920660906</v>
      </c>
      <c r="F25" s="3"/>
      <c r="G25" s="3"/>
      <c r="H25" s="7"/>
    </row>
    <row r="26" spans="1:8" ht="15.75" thickBot="1">
      <c r="A26" s="1317"/>
      <c r="B26" s="600" t="s">
        <v>899</v>
      </c>
      <c r="C26" s="388">
        <f>IF(C22&lt;&gt;"", (NORMSINV(1-(C$13/1000000)))+1.5, MIN(IF(C$5&lt;&gt;"",((C18-C$5)/(3*C19)),IF(C$7&lt;&gt;"",((C$7-C18)/(3*C19)),""))))</f>
        <v>1</v>
      </c>
      <c r="D26" s="388">
        <f>IF(D22&lt;&gt;"", (NORMSINV(1-(D$13/1000000)))+1.5, MIN(IF(D$5&lt;&gt;"",((D18-D$5)/(3*D19)),IF(D$7&lt;&gt;"",((D$7-D18)/(3*D19)),""))))</f>
        <v>0.26666666666666661</v>
      </c>
      <c r="E26" s="388">
        <f>IF(E22&lt;&gt;"", (NORMSINV(1-(E$13/1000000)))+1.5, MIN(IF(E$5&lt;&gt;"",((E18-E$5)/(3*E19)),IF(E$7&lt;&gt;"",((E$7-E18)/(3*E19)),""))))</f>
        <v>1.5</v>
      </c>
      <c r="F26" s="4"/>
      <c r="G26" s="4"/>
      <c r="H26" s="8"/>
    </row>
    <row r="27" spans="1:8">
      <c r="A27" s="395" t="s">
        <v>901</v>
      </c>
    </row>
  </sheetData>
  <mergeCells count="8">
    <mergeCell ref="A9:A17"/>
    <mergeCell ref="A18:A26"/>
    <mergeCell ref="A8:B8"/>
    <mergeCell ref="A1:B1"/>
    <mergeCell ref="A2:B2"/>
    <mergeCell ref="A3:B3"/>
    <mergeCell ref="A4:B4"/>
    <mergeCell ref="A5:A7"/>
  </mergeCells>
  <phoneticPr fontId="32" type="noConversion"/>
  <pageMargins left="0.70866141732283472" right="0.70866141732283472" top="0.74803149606299213" bottom="0.74803149606299213" header="0.31496062992125984" footer="0.31496062992125984"/>
  <pageSetup paperSize="9" scale="89" orientation="landscape" horizontalDpi="0" verticalDpi="0" r:id="rId1"/>
  <legacy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605B3-0592-5E4F-8E07-E575905AC012}">
  <sheetPr>
    <pageSetUpPr fitToPage="1"/>
  </sheetPr>
  <dimension ref="A1:M21"/>
  <sheetViews>
    <sheetView topLeftCell="A4" zoomScale="90" zoomScaleNormal="90" workbookViewId="0">
      <selection activeCell="O5" sqref="O5"/>
    </sheetView>
  </sheetViews>
  <sheetFormatPr defaultColWidth="8.7109375" defaultRowHeight="15.75"/>
  <cols>
    <col min="1" max="1" width="0.7109375" style="1032" customWidth="1"/>
    <col min="2" max="2" width="34.5703125" style="397" customWidth="1"/>
    <col min="3" max="3" width="12.42578125" style="396" customWidth="1"/>
    <col min="4" max="4" width="21.5703125" style="397" customWidth="1"/>
    <col min="5" max="5" width="38.5703125" style="397" customWidth="1"/>
    <col min="6" max="6" width="4.28515625" style="397" customWidth="1"/>
    <col min="7" max="7" width="13.42578125" style="397" customWidth="1"/>
    <col min="8" max="9" width="8.7109375" style="397"/>
    <col min="10" max="10" width="11" style="397" customWidth="1"/>
    <col min="11" max="11" width="1.42578125" style="397" customWidth="1"/>
    <col min="12" max="13" width="8.7109375" style="397" hidden="1" customWidth="1"/>
    <col min="14" max="14" width="8.7109375" style="397"/>
    <col min="15" max="15" width="11.85546875" style="397" customWidth="1"/>
    <col min="16" max="16" width="11.140625" style="397" bestFit="1" customWidth="1"/>
    <col min="17" max="17" width="28.140625" style="397" customWidth="1"/>
    <col min="18" max="18" width="31" style="397" customWidth="1"/>
    <col min="19" max="16384" width="8.7109375" style="397"/>
  </cols>
  <sheetData>
    <row r="1" spans="2:13" ht="21">
      <c r="B1" s="1062" t="s">
        <v>902</v>
      </c>
      <c r="C1" s="707"/>
      <c r="D1" s="1076"/>
      <c r="E1" s="1076"/>
      <c r="F1" s="1076"/>
      <c r="G1" s="1076"/>
      <c r="H1" s="1076"/>
      <c r="I1" s="1076"/>
      <c r="J1" s="1076"/>
      <c r="K1" s="1076"/>
      <c r="L1" s="707"/>
      <c r="M1" s="707"/>
    </row>
    <row r="2" spans="2:13">
      <c r="B2" s="964" t="s">
        <v>903</v>
      </c>
      <c r="C2" s="964"/>
      <c r="D2" s="1327" t="s">
        <v>904</v>
      </c>
      <c r="E2" s="1328"/>
      <c r="F2" s="1076"/>
      <c r="G2" s="1076"/>
      <c r="H2" s="1076"/>
      <c r="I2" s="1076"/>
      <c r="J2" s="1076"/>
      <c r="K2" s="1076"/>
      <c r="L2" s="707"/>
      <c r="M2" s="707"/>
    </row>
    <row r="3" spans="2:13" ht="16.5" thickBot="1">
      <c r="B3" s="964" t="s">
        <v>905</v>
      </c>
      <c r="C3" s="964"/>
      <c r="D3" s="966" t="s">
        <v>906</v>
      </c>
      <c r="E3" s="970" t="s">
        <v>907</v>
      </c>
      <c r="F3" s="1076"/>
      <c r="G3" s="1334" t="s">
        <v>908</v>
      </c>
      <c r="H3" s="1335"/>
      <c r="I3" s="1335"/>
      <c r="J3" s="1336"/>
      <c r="K3" s="1076"/>
      <c r="L3" s="707"/>
      <c r="M3" s="707"/>
    </row>
    <row r="4" spans="2:13" ht="46.5" customHeight="1" thickTop="1" thickBot="1">
      <c r="B4" s="1333" t="s">
        <v>909</v>
      </c>
      <c r="C4" s="967" t="s">
        <v>906</v>
      </c>
      <c r="D4" s="969" t="s">
        <v>910</v>
      </c>
      <c r="E4" s="972" t="s">
        <v>911</v>
      </c>
      <c r="F4" s="1076"/>
      <c r="G4" s="1337"/>
      <c r="H4" s="1338"/>
      <c r="I4" s="1338"/>
      <c r="J4" s="1339"/>
      <c r="K4" s="1076"/>
      <c r="L4" s="707"/>
      <c r="M4" s="707"/>
    </row>
    <row r="5" spans="2:13" ht="30.75" thickTop="1">
      <c r="B5" s="1333"/>
      <c r="C5" s="968" t="s">
        <v>907</v>
      </c>
      <c r="D5" s="965" t="s">
        <v>912</v>
      </c>
      <c r="E5" s="971" t="s">
        <v>913</v>
      </c>
      <c r="F5" s="1076"/>
      <c r="G5" s="1340"/>
      <c r="H5" s="1341"/>
      <c r="I5" s="1341"/>
      <c r="J5" s="1342"/>
      <c r="K5" s="1076"/>
      <c r="L5" s="707"/>
      <c r="M5" s="707"/>
    </row>
    <row r="6" spans="2:13" s="1032" customFormat="1">
      <c r="B6" s="1033" t="s">
        <v>914</v>
      </c>
      <c r="C6" s="964"/>
      <c r="D6" s="964"/>
      <c r="E6" s="964"/>
      <c r="F6" s="1076"/>
      <c r="G6" s="1076"/>
      <c r="H6" s="1076"/>
      <c r="I6" s="1076"/>
      <c r="J6" s="1076"/>
      <c r="K6" s="1076"/>
      <c r="L6" s="1076"/>
      <c r="M6" s="1076"/>
    </row>
    <row r="7" spans="2:13" s="1032" customFormat="1">
      <c r="B7" s="1076"/>
      <c r="C7" s="1163"/>
      <c r="D7" s="1076"/>
      <c r="E7" s="1076"/>
      <c r="F7" s="1076"/>
      <c r="G7" s="1076"/>
      <c r="H7" s="1076"/>
      <c r="I7" s="1076"/>
      <c r="J7" s="1076"/>
      <c r="K7" s="1076"/>
      <c r="L7" s="1076"/>
      <c r="M7" s="1076"/>
    </row>
    <row r="8" spans="2:13" s="1032" customFormat="1">
      <c r="B8" s="279" t="s">
        <v>915</v>
      </c>
      <c r="C8" s="1163"/>
      <c r="D8" s="1076"/>
      <c r="E8" s="1076"/>
      <c r="F8" s="1076"/>
      <c r="G8" s="1076"/>
      <c r="H8" s="1076"/>
      <c r="I8" s="1076"/>
      <c r="J8" s="1076"/>
      <c r="K8" s="1076"/>
      <c r="L8" s="1076"/>
      <c r="M8" s="1076"/>
    </row>
    <row r="9" spans="2:13" ht="31.5" customHeight="1">
      <c r="B9" s="1329" t="s">
        <v>916</v>
      </c>
      <c r="C9" s="1329"/>
      <c r="D9" s="1076"/>
      <c r="E9" s="1343" t="s">
        <v>917</v>
      </c>
      <c r="F9" s="1343"/>
      <c r="G9" s="1343"/>
      <c r="H9" s="1343"/>
      <c r="I9" s="1343"/>
      <c r="J9" s="1343"/>
      <c r="K9" s="1343"/>
      <c r="L9" s="1343"/>
      <c r="M9" s="1343"/>
    </row>
    <row r="10" spans="2:13">
      <c r="B10" s="1076"/>
      <c r="C10" s="1163"/>
      <c r="D10" s="1076"/>
      <c r="E10" s="1076"/>
      <c r="F10" s="1076"/>
      <c r="G10" s="1076"/>
      <c r="H10" s="1076"/>
      <c r="I10" s="1076"/>
      <c r="J10" s="1076"/>
      <c r="K10" s="1076"/>
      <c r="L10" s="707"/>
      <c r="M10" s="707"/>
    </row>
    <row r="11" spans="2:13">
      <c r="B11" s="279" t="s">
        <v>918</v>
      </c>
      <c r="C11" s="964"/>
      <c r="D11" s="964"/>
      <c r="E11" s="1035"/>
      <c r="F11" s="1076"/>
      <c r="G11" s="1076"/>
      <c r="H11" s="1076"/>
      <c r="I11" s="1076"/>
      <c r="J11" s="1076"/>
      <c r="K11" s="1076"/>
      <c r="L11" s="707"/>
      <c r="M11" s="707"/>
    </row>
    <row r="12" spans="2:13" ht="31.5" customHeight="1">
      <c r="B12" s="1329" t="s">
        <v>919</v>
      </c>
      <c r="C12" s="1329"/>
      <c r="D12" s="1076"/>
      <c r="E12" s="1042" t="s">
        <v>920</v>
      </c>
      <c r="F12" s="1043"/>
      <c r="G12" s="1043"/>
      <c r="H12" s="1043"/>
      <c r="I12" s="1043"/>
      <c r="J12" s="1043"/>
      <c r="K12" s="1044"/>
      <c r="L12" s="1043"/>
      <c r="M12" s="1044"/>
    </row>
    <row r="13" spans="2:13">
      <c r="B13" s="1034"/>
      <c r="C13" s="1163"/>
      <c r="D13" s="1076"/>
      <c r="E13" s="1175"/>
      <c r="F13" s="1175"/>
      <c r="G13" s="1175"/>
      <c r="H13" s="1175"/>
      <c r="I13" s="1175"/>
      <c r="J13" s="1175"/>
      <c r="K13" s="1176"/>
      <c r="L13" s="1176"/>
      <c r="M13" s="1176"/>
    </row>
    <row r="14" spans="2:13">
      <c r="B14" s="1034" t="s">
        <v>921</v>
      </c>
      <c r="C14" s="1163"/>
      <c r="D14" s="1076"/>
      <c r="E14" s="1175"/>
      <c r="F14" s="1175"/>
      <c r="G14" s="1175"/>
      <c r="H14" s="1175"/>
      <c r="I14" s="1175"/>
      <c r="J14" s="1175"/>
      <c r="K14" s="1176"/>
      <c r="L14" s="1176"/>
      <c r="M14" s="1176"/>
    </row>
    <row r="15" spans="2:13" ht="31.5">
      <c r="B15" s="1177" t="s">
        <v>922</v>
      </c>
      <c r="C15" s="324" t="s">
        <v>0</v>
      </c>
      <c r="D15" s="1076"/>
      <c r="E15" s="1330" t="str">
        <f>IF(C15="No","Consider transforming data using the Box-Cox Transformation",IF(C15="","Check 'Graphical Summary' Sheet for more information on how to determine this",""))</f>
        <v/>
      </c>
      <c r="F15" s="1331"/>
      <c r="G15" s="1331"/>
      <c r="H15" s="1331"/>
      <c r="I15" s="1331"/>
      <c r="J15" s="1331"/>
      <c r="K15" s="1332"/>
      <c r="L15" s="1038"/>
      <c r="M15" s="1039"/>
    </row>
    <row r="16" spans="2:13">
      <c r="B16" s="1076"/>
      <c r="C16" s="1165"/>
      <c r="D16" s="1076"/>
      <c r="E16" s="1175"/>
      <c r="F16" s="1175"/>
      <c r="G16" s="1175"/>
      <c r="H16" s="1175"/>
      <c r="I16" s="1175"/>
      <c r="J16" s="1175"/>
      <c r="K16" s="1175"/>
      <c r="L16" s="1176"/>
      <c r="M16" s="1176"/>
    </row>
    <row r="17" spans="2:13">
      <c r="B17" s="1178" t="s">
        <v>923</v>
      </c>
      <c r="C17" s="324" t="s">
        <v>1</v>
      </c>
      <c r="D17" s="1076"/>
      <c r="E17" s="1040" t="str">
        <f>IF(AND(C15="No",C17=""),"Please answer",IF(AND(C15="No",C17="No"),"Use Kruskal-Wallis Test",IF(AND(C15="No",C17="Yes"),"Use Mood's Median Test","Only answer if sample is not normally distributed")))</f>
        <v>Only answer if sample is not normally distributed</v>
      </c>
      <c r="F17" s="1179"/>
      <c r="G17" s="1179"/>
      <c r="H17" s="1179"/>
      <c r="I17" s="1179"/>
      <c r="J17" s="1179"/>
      <c r="K17" s="1180"/>
      <c r="L17" s="1181"/>
      <c r="M17" s="1182"/>
    </row>
    <row r="18" spans="2:13">
      <c r="B18" s="1076"/>
      <c r="C18" s="1165"/>
      <c r="D18" s="1076"/>
      <c r="E18" s="1175"/>
      <c r="F18" s="1175"/>
      <c r="G18" s="1175"/>
      <c r="H18" s="1175"/>
      <c r="I18" s="1175"/>
      <c r="J18" s="1175"/>
      <c r="K18" s="1175"/>
      <c r="L18" s="1176"/>
      <c r="M18" s="1176"/>
    </row>
    <row r="19" spans="2:13" ht="31.5">
      <c r="B19" s="1178" t="s">
        <v>924</v>
      </c>
      <c r="C19" s="324">
        <v>2</v>
      </c>
      <c r="D19" s="1076"/>
      <c r="E19" s="1330" t="str">
        <f>IF(AND(C15="Yes",C19=""),"Please answer",IF(AND(C15="Yes",C19=1),"1 Sample t-Test for comparing the average of one sample against a specific target or historical average",IF(AND(C15="Yes",C19=2),"2 Sample t-Test for comparing the averages of two samples against each other OR Paired t-Test For comparing the average of two samples that contain data that is linked in pairs",IF(AND(C15="Yes",C19="3 or more"),"One Way ANOVA for comparing the averages of 3 or more samples against each other",""))))</f>
        <v>2 Sample t-Test for comparing the averages of two samples against each other OR Paired t-Test For comparing the average of two samples that contain data that is linked in pairs</v>
      </c>
      <c r="F19" s="1331"/>
      <c r="G19" s="1331"/>
      <c r="H19" s="1331"/>
      <c r="I19" s="1331"/>
      <c r="J19" s="1331"/>
      <c r="K19" s="1332"/>
      <c r="L19" s="1045"/>
      <c r="M19" s="1041"/>
    </row>
    <row r="20" spans="2:13">
      <c r="B20" s="1076"/>
      <c r="C20" s="1163"/>
      <c r="D20" s="1076"/>
      <c r="E20" s="1076"/>
      <c r="F20" s="1076"/>
      <c r="G20" s="1076"/>
      <c r="H20" s="1076"/>
      <c r="I20" s="1076"/>
      <c r="J20" s="1076"/>
      <c r="K20" s="1076"/>
      <c r="L20" s="1036"/>
      <c r="M20" s="1037"/>
    </row>
    <row r="21" spans="2:13">
      <c r="B21" s="707"/>
      <c r="C21" s="1163"/>
      <c r="D21" s="1076"/>
      <c r="E21" s="1076"/>
      <c r="F21" s="1076"/>
      <c r="G21" s="1076"/>
      <c r="H21" s="1076"/>
      <c r="I21" s="1076"/>
      <c r="J21" s="1076"/>
      <c r="K21" s="1076"/>
      <c r="L21" s="707"/>
      <c r="M21" s="707"/>
    </row>
  </sheetData>
  <mergeCells count="8">
    <mergeCell ref="D2:E2"/>
    <mergeCell ref="B9:C9"/>
    <mergeCell ref="B12:C12"/>
    <mergeCell ref="E15:K15"/>
    <mergeCell ref="E19:K19"/>
    <mergeCell ref="B4:B5"/>
    <mergeCell ref="G3:J5"/>
    <mergeCell ref="E9:M9"/>
  </mergeCells>
  <conditionalFormatting sqref="E15 L15:M15 E17:M17 E19 L19:M20">
    <cfRule type="expression" dxfId="6" priority="1">
      <formula>"Please answer"</formula>
    </cfRule>
  </conditionalFormatting>
  <pageMargins left="0.70866141732283472" right="0.70866141732283472" top="0.74803149606299213" bottom="0.74803149606299213" header="0.31496062992125984" footer="0.31496062992125984"/>
  <pageSetup paperSize="9" scale="84" orientation="landscape" horizontalDpi="300" verticalDpi="300"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D3C14-C37E-834C-9F6B-AA6A130FF5EC}">
  <sheetPr>
    <pageSetUpPr fitToPage="1"/>
  </sheetPr>
  <dimension ref="A1:I26"/>
  <sheetViews>
    <sheetView zoomScaleNormal="100" workbookViewId="0">
      <selection activeCell="H26" sqref="H26"/>
    </sheetView>
  </sheetViews>
  <sheetFormatPr defaultColWidth="8.7109375" defaultRowHeight="15.75"/>
  <cols>
    <col min="1" max="1" width="17.42578125" style="400" customWidth="1"/>
    <col min="2" max="2" width="18.7109375" style="400" bestFit="1" customWidth="1"/>
    <col min="3" max="3" width="8.7109375" style="397" bestFit="1" customWidth="1"/>
    <col min="4" max="5" width="2.28515625" style="397" bestFit="1" customWidth="1"/>
    <col min="6" max="6" width="12.42578125" style="397" bestFit="1" customWidth="1"/>
    <col min="7" max="7" width="19.42578125" style="396" bestFit="1" customWidth="1"/>
    <col min="8" max="8" width="9.7109375" style="400" bestFit="1" customWidth="1"/>
    <col min="9" max="9" width="29" style="401" customWidth="1"/>
    <col min="10" max="16384" width="8.7109375" style="397"/>
  </cols>
  <sheetData>
    <row r="1" spans="1:8" ht="21">
      <c r="A1" s="1062" t="s">
        <v>925</v>
      </c>
      <c r="B1" s="989"/>
      <c r="C1" s="707"/>
      <c r="D1" s="707"/>
      <c r="E1" s="707"/>
      <c r="F1" s="707"/>
      <c r="G1" s="1165"/>
      <c r="H1" s="989"/>
    </row>
    <row r="2" spans="1:8">
      <c r="A2" s="399"/>
      <c r="B2" s="989"/>
      <c r="C2" s="1344" t="s">
        <v>926</v>
      </c>
      <c r="D2" s="1345"/>
      <c r="E2" s="1345"/>
      <c r="F2" s="1346"/>
      <c r="G2" s="1165"/>
      <c r="H2" s="989"/>
    </row>
    <row r="3" spans="1:8">
      <c r="A3" s="1347" t="s">
        <v>927</v>
      </c>
      <c r="B3" s="1348"/>
      <c r="C3" s="402" t="s">
        <v>928</v>
      </c>
      <c r="D3" s="402"/>
      <c r="E3" s="403"/>
      <c r="F3" s="404" t="s">
        <v>929</v>
      </c>
      <c r="G3" s="405" t="s">
        <v>930</v>
      </c>
      <c r="H3" s="1166" t="s">
        <v>515</v>
      </c>
    </row>
    <row r="4" spans="1:8">
      <c r="A4" s="406" t="s">
        <v>931</v>
      </c>
      <c r="B4" s="1183" t="s">
        <v>932</v>
      </c>
      <c r="C4" s="407">
        <v>421</v>
      </c>
      <c r="D4" s="408"/>
      <c r="E4" s="408"/>
      <c r="F4" s="409">
        <v>600</v>
      </c>
      <c r="G4" s="410">
        <f>SUM(C4:F4)</f>
        <v>1021</v>
      </c>
      <c r="H4" s="411">
        <f>G4/$G$16</f>
        <v>0.50544554455445545</v>
      </c>
    </row>
    <row r="5" spans="1:8">
      <c r="A5" s="1184"/>
      <c r="B5" s="1185" t="s">
        <v>933</v>
      </c>
      <c r="C5" s="412">
        <f>IF(C4&lt;&gt;"", (C$16*$G4)/$G$16, "")</f>
        <v>465.51534653465347</v>
      </c>
      <c r="D5" s="412" t="str">
        <f t="shared" ref="D5:F5" si="0">IF(D4&lt;&gt;"", (D$16*$G4)/$G$16, "")</f>
        <v/>
      </c>
      <c r="E5" s="412" t="str">
        <f t="shared" si="0"/>
        <v/>
      </c>
      <c r="F5" s="413">
        <f t="shared" si="0"/>
        <v>555.48465346534658</v>
      </c>
      <c r="G5" s="1186"/>
      <c r="H5" s="989"/>
    </row>
    <row r="6" spans="1:8">
      <c r="A6" s="1187"/>
      <c r="B6" s="988" t="s">
        <v>934</v>
      </c>
      <c r="C6" s="414">
        <f>IF(C4&lt;&gt;"", ((C4-C5)^2)/C5, "")</f>
        <v>4.2568222333627652</v>
      </c>
      <c r="D6" s="414" t="str">
        <f t="shared" ref="D6:F6" si="1">IF(D4&lt;&gt;"", ((D4-D5)^2)/D5, "")</f>
        <v/>
      </c>
      <c r="E6" s="414" t="str">
        <f t="shared" si="1"/>
        <v/>
      </c>
      <c r="F6" s="414">
        <f t="shared" si="1"/>
        <v>3.5673642192239274</v>
      </c>
      <c r="G6" s="1186"/>
      <c r="H6" s="989"/>
    </row>
    <row r="7" spans="1:8">
      <c r="A7" s="406" t="s">
        <v>935</v>
      </c>
      <c r="B7" s="1183" t="s">
        <v>932</v>
      </c>
      <c r="C7" s="407">
        <v>13</v>
      </c>
      <c r="D7" s="408"/>
      <c r="E7" s="408"/>
      <c r="F7" s="409">
        <v>490</v>
      </c>
      <c r="G7" s="410">
        <f>SUM(C7:F7)</f>
        <v>503</v>
      </c>
      <c r="H7" s="415">
        <f>G7/$G$16</f>
        <v>0.24900990099009901</v>
      </c>
    </row>
    <row r="8" spans="1:8">
      <c r="A8" s="1184"/>
      <c r="B8" s="1185" t="s">
        <v>933</v>
      </c>
      <c r="C8" s="412">
        <f>IF(C7&lt;&gt;"", (C$16*$G7)/$G$16, "")</f>
        <v>229.3381188118812</v>
      </c>
      <c r="D8" s="412" t="str">
        <f t="shared" ref="D8:F8" si="2">IF(D7&lt;&gt;"", (D$16*$G7)/$G$16, "")</f>
        <v/>
      </c>
      <c r="E8" s="412" t="str">
        <f t="shared" si="2"/>
        <v/>
      </c>
      <c r="F8" s="413">
        <f t="shared" si="2"/>
        <v>273.6618811881188</v>
      </c>
      <c r="G8" s="1186"/>
      <c r="H8" s="989"/>
    </row>
    <row r="9" spans="1:8">
      <c r="A9" s="1187"/>
      <c r="B9" s="988" t="s">
        <v>934</v>
      </c>
      <c r="C9" s="414">
        <f>IF(C7&lt;&gt;"", ((C7-C8)^2)/C8, "")</f>
        <v>204.07502203963736</v>
      </c>
      <c r="D9" s="414" t="str">
        <f t="shared" ref="D9:F9" si="3">IF(D7&lt;&gt;"", ((D7-D8)^2)/D8, "")</f>
        <v/>
      </c>
      <c r="E9" s="414" t="str">
        <f t="shared" si="3"/>
        <v/>
      </c>
      <c r="F9" s="414">
        <f t="shared" si="3"/>
        <v>171.02192474841314</v>
      </c>
      <c r="G9" s="1186"/>
      <c r="H9" s="989"/>
    </row>
    <row r="10" spans="1:8">
      <c r="A10" s="406" t="s">
        <v>936</v>
      </c>
      <c r="B10" s="1183" t="s">
        <v>932</v>
      </c>
      <c r="C10" s="407">
        <v>487</v>
      </c>
      <c r="D10" s="408"/>
      <c r="E10" s="408"/>
      <c r="F10" s="409">
        <v>9</v>
      </c>
      <c r="G10" s="410">
        <f>SUM(C10:F10)</f>
        <v>496</v>
      </c>
      <c r="H10" s="415">
        <f>G10/$G$16</f>
        <v>0.24554455445544554</v>
      </c>
    </row>
    <row r="11" spans="1:8">
      <c r="A11" s="1184"/>
      <c r="B11" s="1185" t="s">
        <v>933</v>
      </c>
      <c r="C11" s="412">
        <f>IF(C10&lt;&gt;"", (C$16*$G10)/$G$16, "")</f>
        <v>226.14653465346535</v>
      </c>
      <c r="D11" s="412" t="str">
        <f t="shared" ref="D11:F11" si="4">IF(D10&lt;&gt;"", (D$16*$G10)/$G$16, "")</f>
        <v/>
      </c>
      <c r="E11" s="1003" t="str">
        <f t="shared" si="4"/>
        <v/>
      </c>
      <c r="F11" s="413">
        <f t="shared" si="4"/>
        <v>269.85346534653468</v>
      </c>
      <c r="G11" s="1186"/>
      <c r="H11" s="989"/>
    </row>
    <row r="12" spans="1:8">
      <c r="A12" s="1187"/>
      <c r="B12" s="988" t="s">
        <v>934</v>
      </c>
      <c r="C12" s="414">
        <f>IF(C10&lt;&gt;"", ((C10-C11)^2)/C11, "")</f>
        <v>300.88690276666637</v>
      </c>
      <c r="D12" s="414" t="str">
        <f t="shared" ref="D12:F12" si="5">IF(D10&lt;&gt;"", ((D10-D11)^2)/D11, "")</f>
        <v/>
      </c>
      <c r="E12" s="414" t="str">
        <f t="shared" si="5"/>
        <v/>
      </c>
      <c r="F12" s="414">
        <f t="shared" si="5"/>
        <v>252.1536282512281</v>
      </c>
      <c r="G12" s="1186"/>
      <c r="H12" s="989"/>
    </row>
    <row r="13" spans="1:8">
      <c r="A13" s="406"/>
      <c r="B13" s="1183" t="s">
        <v>932</v>
      </c>
      <c r="C13" s="407"/>
      <c r="D13" s="408"/>
      <c r="E13" s="408"/>
      <c r="F13" s="409"/>
      <c r="G13" s="410">
        <f>SUM(C13:F13)</f>
        <v>0</v>
      </c>
      <c r="H13" s="415">
        <f>G13/$G$16</f>
        <v>0</v>
      </c>
    </row>
    <row r="14" spans="1:8">
      <c r="A14" s="1188"/>
      <c r="B14" s="1185" t="s">
        <v>933</v>
      </c>
      <c r="C14" s="412" t="str">
        <f>IF(C13&lt;&gt;"", (C$16*$G13)/$G$16, "")</f>
        <v/>
      </c>
      <c r="D14" s="412" t="str">
        <f t="shared" ref="D14:F14" si="6">IF(D13&lt;&gt;"", (D$16*$G13)/$G$16, "")</f>
        <v/>
      </c>
      <c r="E14" s="412" t="str">
        <f t="shared" si="6"/>
        <v/>
      </c>
      <c r="F14" s="413" t="str">
        <f t="shared" si="6"/>
        <v/>
      </c>
      <c r="G14" s="1186"/>
      <c r="H14" s="989"/>
    </row>
    <row r="15" spans="1:8">
      <c r="A15" s="1189"/>
      <c r="B15" s="988" t="s">
        <v>934</v>
      </c>
      <c r="C15" s="414" t="str">
        <f>IF(C13&lt;&gt;"", ((C13-C14)^2)/C14, "")</f>
        <v/>
      </c>
      <c r="D15" s="414" t="str">
        <f t="shared" ref="D15:F15" si="7">IF(D13&lt;&gt;"", ((D13-D14)^2)/D14, "")</f>
        <v/>
      </c>
      <c r="E15" s="414" t="str">
        <f t="shared" si="7"/>
        <v/>
      </c>
      <c r="F15" s="414" t="str">
        <f t="shared" si="7"/>
        <v/>
      </c>
      <c r="G15" s="1186"/>
      <c r="H15" s="989"/>
    </row>
    <row r="16" spans="1:8">
      <c r="A16" s="416" t="s">
        <v>937</v>
      </c>
      <c r="B16" s="417"/>
      <c r="C16" s="418">
        <f>C4+C7+C10+C13</f>
        <v>921</v>
      </c>
      <c r="D16" s="418">
        <f t="shared" ref="D16:E16" si="8">D4+D7+D10+D13</f>
        <v>0</v>
      </c>
      <c r="E16" s="418">
        <f t="shared" si="8"/>
        <v>0</v>
      </c>
      <c r="F16" s="419">
        <f>F4+F7+F10+F13</f>
        <v>1099</v>
      </c>
      <c r="G16" s="420">
        <f>SUM(G4:G15)</f>
        <v>2020</v>
      </c>
      <c r="H16" s="989"/>
    </row>
    <row r="17" spans="1:9">
      <c r="A17" s="989"/>
      <c r="B17" s="989" t="s">
        <v>515</v>
      </c>
      <c r="C17" s="421">
        <f>C16/$G$16</f>
        <v>0.45594059405940596</v>
      </c>
      <c r="D17" s="422"/>
      <c r="E17" s="422"/>
      <c r="F17" s="423">
        <f>F16/$G$16</f>
        <v>0.5440594059405941</v>
      </c>
      <c r="G17" s="1190"/>
      <c r="H17" s="989"/>
      <c r="I17" s="1185"/>
    </row>
    <row r="18" spans="1:9">
      <c r="A18" s="989"/>
      <c r="B18" s="989"/>
      <c r="C18" s="707"/>
      <c r="D18" s="707"/>
      <c r="E18" s="707"/>
      <c r="F18" s="707"/>
      <c r="G18" s="707"/>
      <c r="H18" s="707"/>
      <c r="I18" s="1185"/>
    </row>
    <row r="19" spans="1:9">
      <c r="A19" s="989" t="s">
        <v>938</v>
      </c>
      <c r="B19" s="1185" t="s">
        <v>939</v>
      </c>
      <c r="C19" s="707"/>
      <c r="D19" s="707"/>
      <c r="E19" s="707"/>
      <c r="F19" s="707"/>
      <c r="G19" s="1165"/>
      <c r="H19" s="989"/>
      <c r="I19" s="707"/>
    </row>
    <row r="20" spans="1:9">
      <c r="A20" s="989" t="s">
        <v>940</v>
      </c>
      <c r="B20" s="1185" t="s">
        <v>941</v>
      </c>
      <c r="C20" s="707"/>
      <c r="D20" s="1191"/>
      <c r="E20" s="1191"/>
      <c r="F20" s="707"/>
      <c r="G20" s="1165"/>
      <c r="H20" s="989"/>
      <c r="I20" s="707"/>
    </row>
    <row r="21" spans="1:9">
      <c r="A21" s="1165"/>
      <c r="B21" s="707" t="s">
        <v>942</v>
      </c>
      <c r="C21" s="707"/>
      <c r="D21" s="707"/>
      <c r="E21" s="707"/>
      <c r="F21" s="707"/>
      <c r="G21" s="1165"/>
      <c r="H21" s="989"/>
      <c r="I21" s="707"/>
    </row>
    <row r="22" spans="1:9">
      <c r="A22" s="989"/>
      <c r="B22" s="989"/>
      <c r="C22" s="707"/>
      <c r="D22" s="707"/>
      <c r="E22" s="707"/>
      <c r="F22" s="707"/>
      <c r="G22" s="989"/>
      <c r="H22" s="1185"/>
      <c r="I22" s="707"/>
    </row>
    <row r="23" spans="1:9">
      <c r="A23" s="989"/>
      <c r="B23" s="398" t="s">
        <v>943</v>
      </c>
      <c r="C23" s="103">
        <v>0.05</v>
      </c>
      <c r="D23" s="707"/>
      <c r="E23" s="707"/>
      <c r="F23" s="707"/>
      <c r="G23" s="1165"/>
      <c r="H23" s="989"/>
      <c r="I23" s="1185"/>
    </row>
    <row r="24" spans="1:9">
      <c r="A24" s="989"/>
      <c r="B24" s="989" t="s">
        <v>944</v>
      </c>
      <c r="C24" s="424">
        <f>SUM(C6:F6)+SUM(C9:F9)+SUM(C12:F12)+SUM(C15:F15)</f>
        <v>935.96166425853153</v>
      </c>
      <c r="D24" s="707"/>
      <c r="E24" s="707"/>
      <c r="F24" s="707"/>
      <c r="G24" s="1165"/>
      <c r="H24" s="989"/>
      <c r="I24" s="1185"/>
    </row>
    <row r="25" spans="1:9">
      <c r="A25" s="989"/>
      <c r="B25" s="989" t="s">
        <v>945</v>
      </c>
      <c r="C25" s="280">
        <f>(COUNTA(A4:A13)-1)*(COUNTA(C3:F3)-1)</f>
        <v>2</v>
      </c>
      <c r="D25" s="707"/>
      <c r="E25" s="707"/>
      <c r="F25" s="707"/>
      <c r="G25" s="1165"/>
      <c r="H25" s="989"/>
      <c r="I25" s="1185"/>
    </row>
    <row r="26" spans="1:9">
      <c r="A26" s="989"/>
      <c r="B26" s="425" t="s">
        <v>715</v>
      </c>
      <c r="C26" s="426">
        <f>_xlfn.CHISQ.DIST.RT(C24, C25)</f>
        <v>5.7346506971686632E-204</v>
      </c>
      <c r="D26" s="707"/>
      <c r="E26" s="707"/>
      <c r="F26" s="707"/>
      <c r="G26" s="1165"/>
      <c r="H26" s="989"/>
      <c r="I26" s="1185"/>
    </row>
  </sheetData>
  <mergeCells count="2">
    <mergeCell ref="C2:F2"/>
    <mergeCell ref="A3:B3"/>
  </mergeCells>
  <pageMargins left="0.70866141732283472" right="0.70866141732283472" top="0.74803149606299213" bottom="0.74803149606299213" header="0.31496062992125984" footer="0.31496062992125984"/>
  <pageSetup paperSize="9" scale="80" orientation="landscape" horizontalDpi="300" verticalDpi="300"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C6972-1B6F-EE4E-A10B-C99BD113DED7}">
  <dimension ref="A1:L423"/>
  <sheetViews>
    <sheetView topLeftCell="A6" zoomScaleNormal="100" workbookViewId="0">
      <selection activeCell="G12" sqref="G12"/>
    </sheetView>
  </sheetViews>
  <sheetFormatPr defaultColWidth="8.7109375" defaultRowHeight="15.75"/>
  <cols>
    <col min="1" max="1" width="8" style="397" customWidth="1"/>
    <col min="2" max="2" width="10.85546875" style="397" bestFit="1" customWidth="1"/>
    <col min="3" max="3" width="11.28515625" style="397" bestFit="1" customWidth="1"/>
    <col min="4" max="4" width="8.7109375" style="397"/>
    <col min="5" max="5" width="18.7109375" style="397" bestFit="1" customWidth="1"/>
    <col min="6" max="7" width="13.7109375" style="397" bestFit="1" customWidth="1"/>
    <col min="8" max="9" width="8.7109375" style="397"/>
    <col min="10" max="10" width="6.28515625" style="397" customWidth="1"/>
    <col min="11" max="11" width="20.28515625" style="397" bestFit="1" customWidth="1"/>
    <col min="12" max="16384" width="8.7109375" style="397"/>
  </cols>
  <sheetData>
    <row r="1" spans="1:12" ht="21">
      <c r="A1" s="1060" t="s">
        <v>946</v>
      </c>
      <c r="B1" s="707"/>
      <c r="C1" s="707"/>
      <c r="D1" s="707"/>
      <c r="E1" s="707"/>
      <c r="F1" s="707"/>
      <c r="G1" s="707"/>
      <c r="H1" s="707"/>
      <c r="I1" s="707"/>
      <c r="J1" s="707"/>
      <c r="K1" s="707"/>
      <c r="L1" s="707"/>
    </row>
    <row r="3" spans="1:12" ht="15.75" customHeight="1">
      <c r="A3" s="427" t="s">
        <v>947</v>
      </c>
      <c r="B3" s="307" t="s">
        <v>948</v>
      </c>
      <c r="C3" s="307" t="s">
        <v>949</v>
      </c>
      <c r="D3" s="707"/>
      <c r="E3" s="36"/>
      <c r="F3" s="280" t="str">
        <f>B3</f>
        <v>CallType A</v>
      </c>
      <c r="G3" s="280" t="str">
        <f>C3</f>
        <v>Call Type B</v>
      </c>
      <c r="H3" s="428" t="s">
        <v>950</v>
      </c>
      <c r="I3" s="36"/>
      <c r="J3" s="707"/>
      <c r="K3" s="707"/>
      <c r="L3" s="707"/>
    </row>
    <row r="4" spans="1:12">
      <c r="A4" s="1185">
        <v>1</v>
      </c>
      <c r="B4" s="307">
        <v>19.3</v>
      </c>
      <c r="C4" s="307">
        <v>20.59</v>
      </c>
      <c r="D4" s="707"/>
      <c r="E4" s="32" t="s">
        <v>789</v>
      </c>
      <c r="F4" s="280">
        <f>AVERAGE(B:B)</f>
        <v>21.77181818181818</v>
      </c>
      <c r="G4" s="280">
        <f>AVERAGE(C:C)</f>
        <v>21.804666666666666</v>
      </c>
      <c r="H4" s="36"/>
      <c r="I4" s="36"/>
      <c r="J4" s="707"/>
      <c r="K4" s="707"/>
      <c r="L4" s="707"/>
    </row>
    <row r="5" spans="1:12">
      <c r="A5" s="1185">
        <v>2</v>
      </c>
      <c r="B5" s="307">
        <v>20.39</v>
      </c>
      <c r="C5" s="307">
        <v>27.15</v>
      </c>
      <c r="D5" s="707"/>
      <c r="E5" s="32" t="s">
        <v>951</v>
      </c>
      <c r="F5" s="280">
        <f>_xlfn.VAR.S(B:B)</f>
        <v>5.7703340909092162</v>
      </c>
      <c r="G5" s="280">
        <f>_xlfn.VAR.S(C:C)</f>
        <v>7.7784671264367908</v>
      </c>
      <c r="H5" s="36"/>
      <c r="I5" s="36"/>
      <c r="J5" s="707" t="s">
        <v>938</v>
      </c>
      <c r="K5" s="707" t="s">
        <v>952</v>
      </c>
      <c r="L5" s="707" t="s">
        <v>953</v>
      </c>
    </row>
    <row r="6" spans="1:12">
      <c r="A6" s="1185">
        <v>3</v>
      </c>
      <c r="B6" s="307">
        <v>26.34</v>
      </c>
      <c r="C6" s="307">
        <v>21.7</v>
      </c>
      <c r="D6" s="707"/>
      <c r="E6" s="32" t="s">
        <v>954</v>
      </c>
      <c r="F6" s="280">
        <f>COUNT(B:B)</f>
        <v>33</v>
      </c>
      <c r="G6" s="280">
        <f>COUNT(C:C)</f>
        <v>30</v>
      </c>
      <c r="H6" s="36"/>
      <c r="I6" s="36"/>
      <c r="J6" s="707" t="s">
        <v>940</v>
      </c>
      <c r="K6" s="707" t="s">
        <v>955</v>
      </c>
      <c r="L6" s="707" t="s">
        <v>956</v>
      </c>
    </row>
    <row r="7" spans="1:12">
      <c r="A7" s="1185">
        <v>4</v>
      </c>
      <c r="B7" s="307">
        <v>23.23</v>
      </c>
      <c r="C7" s="307">
        <v>19</v>
      </c>
      <c r="D7" s="707"/>
      <c r="E7" s="32" t="s">
        <v>957</v>
      </c>
      <c r="F7" s="280">
        <f>F6-1</f>
        <v>32</v>
      </c>
      <c r="G7" s="280">
        <f t="shared" ref="G7" si="0">G6-1</f>
        <v>29</v>
      </c>
      <c r="H7" s="36"/>
      <c r="I7" s="36"/>
      <c r="J7" s="707" t="s">
        <v>958</v>
      </c>
      <c r="K7" s="707"/>
      <c r="L7" s="707"/>
    </row>
    <row r="8" spans="1:12">
      <c r="A8" s="1185">
        <v>5</v>
      </c>
      <c r="B8" s="307">
        <v>25.71</v>
      </c>
      <c r="C8" s="307">
        <v>21.75</v>
      </c>
      <c r="D8" s="707"/>
      <c r="E8" s="32" t="s">
        <v>625</v>
      </c>
      <c r="F8" s="36"/>
      <c r="G8" s="36"/>
      <c r="H8" s="429">
        <f>F5/G5</f>
        <v>0.7418343482223505</v>
      </c>
      <c r="I8" s="707"/>
      <c r="J8" s="707"/>
      <c r="K8" s="707"/>
      <c r="L8" s="707"/>
    </row>
    <row r="9" spans="1:12">
      <c r="A9" s="1185">
        <v>6</v>
      </c>
      <c r="B9" s="307">
        <v>18.260000000000002</v>
      </c>
      <c r="C9" s="307">
        <v>22.48</v>
      </c>
      <c r="D9" s="707"/>
      <c r="E9" s="32" t="s">
        <v>959</v>
      </c>
      <c r="F9" s="36"/>
      <c r="G9" s="36"/>
      <c r="H9" s="32">
        <v>0.05</v>
      </c>
      <c r="I9" s="36"/>
      <c r="J9" s="707"/>
      <c r="K9" s="707"/>
      <c r="L9" s="707"/>
    </row>
    <row r="10" spans="1:12">
      <c r="A10" s="1185">
        <v>7</v>
      </c>
      <c r="B10" s="307">
        <v>21.18</v>
      </c>
      <c r="C10" s="307">
        <v>16.57</v>
      </c>
      <c r="D10" s="707"/>
      <c r="E10" s="32" t="s">
        <v>960</v>
      </c>
      <c r="F10" s="36"/>
      <c r="G10" s="36"/>
      <c r="H10" s="430">
        <f>_xlfn.F.TEST(B:B, C:C)</f>
        <v>0.41030804254835884</v>
      </c>
      <c r="I10" s="36"/>
      <c r="J10" s="707"/>
      <c r="K10" s="707"/>
      <c r="L10" s="707"/>
    </row>
    <row r="11" spans="1:12">
      <c r="A11" s="1185">
        <v>8</v>
      </c>
      <c r="B11" s="307">
        <v>21.4</v>
      </c>
      <c r="C11" s="307">
        <v>22.33</v>
      </c>
      <c r="D11" s="707"/>
      <c r="E11" s="1002"/>
      <c r="F11" s="36"/>
      <c r="G11" s="36"/>
      <c r="H11" s="36"/>
      <c r="I11" s="36"/>
      <c r="J11" s="707"/>
      <c r="K11" s="707"/>
      <c r="L11" s="707"/>
    </row>
    <row r="12" spans="1:12">
      <c r="A12" s="1185">
        <v>9</v>
      </c>
      <c r="B12" s="307">
        <v>20.39</v>
      </c>
      <c r="C12" s="307">
        <v>18.5</v>
      </c>
      <c r="D12" s="707"/>
      <c r="E12" s="32" t="s">
        <v>961</v>
      </c>
      <c r="F12" s="36"/>
      <c r="G12" s="36"/>
      <c r="H12" s="280" t="str">
        <f>IF(H10&lt;H9,"yes, we reject the Null Hypothesis, the variance are not equal","no, we fail to reject the Null Hypothesis, the variance of the groups can be assumed to be equal")</f>
        <v>no, we fail to reject the Null Hypothesis, the variance of the groups can be assumed to be equal</v>
      </c>
      <c r="I12" s="36"/>
      <c r="J12" s="707"/>
      <c r="K12" s="707"/>
      <c r="L12" s="707"/>
    </row>
    <row r="13" spans="1:12">
      <c r="A13" s="1185">
        <v>10</v>
      </c>
      <c r="B13" s="307">
        <v>16.940000000000001</v>
      </c>
      <c r="C13" s="307">
        <v>25.7</v>
      </c>
      <c r="D13" s="707"/>
      <c r="E13" s="707"/>
      <c r="F13" s="707"/>
      <c r="G13" s="707"/>
      <c r="H13" s="707"/>
      <c r="I13" s="707"/>
      <c r="J13" s="707"/>
      <c r="K13" s="707"/>
      <c r="L13" s="707"/>
    </row>
    <row r="14" spans="1:12">
      <c r="A14" s="1185">
        <v>11</v>
      </c>
      <c r="B14" s="307">
        <v>22.57</v>
      </c>
      <c r="C14" s="307">
        <v>20.55</v>
      </c>
      <c r="D14" s="707"/>
      <c r="E14" s="707"/>
      <c r="F14" s="707"/>
      <c r="G14" s="707"/>
      <c r="H14" s="707"/>
      <c r="I14" s="707"/>
      <c r="J14" s="707"/>
      <c r="K14" s="707"/>
      <c r="L14" s="707"/>
    </row>
    <row r="15" spans="1:12">
      <c r="A15" s="1185">
        <v>12</v>
      </c>
      <c r="B15" s="307">
        <v>22.84</v>
      </c>
      <c r="C15" s="307">
        <v>23.77</v>
      </c>
      <c r="D15" s="707"/>
      <c r="E15" s="707"/>
      <c r="F15" s="707"/>
      <c r="G15" s="707"/>
      <c r="H15" s="707"/>
      <c r="I15" s="707"/>
      <c r="J15" s="707"/>
      <c r="K15" s="707"/>
      <c r="L15" s="707"/>
    </row>
    <row r="16" spans="1:12">
      <c r="A16" s="1185">
        <v>13</v>
      </c>
      <c r="B16" s="307">
        <v>21.84</v>
      </c>
      <c r="C16" s="307">
        <v>18.64</v>
      </c>
      <c r="D16" s="707"/>
      <c r="E16" s="1349" t="s">
        <v>962</v>
      </c>
      <c r="F16" s="1349"/>
      <c r="G16" s="1349"/>
      <c r="H16" s="707"/>
      <c r="I16" s="707"/>
      <c r="J16" s="707"/>
      <c r="K16" s="707"/>
      <c r="L16" s="707"/>
    </row>
    <row r="17" spans="1:7">
      <c r="A17" s="1185">
        <v>14</v>
      </c>
      <c r="B17" s="307">
        <v>24.1</v>
      </c>
      <c r="C17" s="307">
        <v>17.75</v>
      </c>
      <c r="D17" s="707"/>
      <c r="E17" s="398" t="s">
        <v>731</v>
      </c>
      <c r="F17" s="36">
        <f>QUARTILE(B:B,1)</f>
        <v>20</v>
      </c>
      <c r="G17" s="36">
        <f>QUARTILE(C:C,1)</f>
        <v>20.407499999999999</v>
      </c>
    </row>
    <row r="18" spans="1:7">
      <c r="A18" s="1185">
        <v>15</v>
      </c>
      <c r="B18" s="307">
        <v>20</v>
      </c>
      <c r="C18" s="307">
        <v>24.8</v>
      </c>
      <c r="D18" s="707"/>
      <c r="E18" s="398" t="s">
        <v>656</v>
      </c>
      <c r="F18" s="36">
        <f>MIN(B:B)</f>
        <v>16.940000000000001</v>
      </c>
      <c r="G18" s="36">
        <f>MIN(C:C)</f>
        <v>16.57</v>
      </c>
    </row>
    <row r="19" spans="1:7">
      <c r="A19" s="1185">
        <v>16</v>
      </c>
      <c r="B19" s="307">
        <v>20.88</v>
      </c>
      <c r="C19" s="307">
        <v>21.77</v>
      </c>
      <c r="D19" s="707"/>
      <c r="E19" s="398" t="s">
        <v>653</v>
      </c>
      <c r="F19" s="36">
        <f>MEDIAN(B:B)</f>
        <v>21.4</v>
      </c>
      <c r="G19" s="36">
        <f>MEDIAN(C:C)</f>
        <v>21.759999999999998</v>
      </c>
    </row>
    <row r="20" spans="1:7">
      <c r="A20" s="1185">
        <v>17</v>
      </c>
      <c r="B20" s="307">
        <v>18.96</v>
      </c>
      <c r="C20" s="307">
        <v>20.84</v>
      </c>
      <c r="D20" s="707"/>
      <c r="E20" s="398" t="s">
        <v>657</v>
      </c>
      <c r="F20" s="36">
        <f>MAX(B:B)</f>
        <v>26.34</v>
      </c>
      <c r="G20" s="36">
        <f>MAX(C:C)</f>
        <v>27.15</v>
      </c>
    </row>
    <row r="21" spans="1:7">
      <c r="A21" s="1185">
        <v>18</v>
      </c>
      <c r="B21" s="307">
        <v>25.07</v>
      </c>
      <c r="C21" s="307">
        <v>21.97</v>
      </c>
      <c r="D21" s="707"/>
      <c r="E21" s="398" t="s">
        <v>732</v>
      </c>
      <c r="F21" s="36">
        <f>QUARTILE(B:B,3)</f>
        <v>23.67</v>
      </c>
      <c r="G21" s="36">
        <f>QUARTILE(C:C,3)</f>
        <v>23.177499999999998</v>
      </c>
    </row>
    <row r="22" spans="1:7">
      <c r="A22" s="1185">
        <v>19</v>
      </c>
      <c r="B22" s="307">
        <v>19.54</v>
      </c>
      <c r="C22" s="307">
        <v>21.65</v>
      </c>
      <c r="D22" s="707"/>
      <c r="E22" s="103"/>
      <c r="F22" s="707"/>
      <c r="G22" s="707"/>
    </row>
    <row r="23" spans="1:7">
      <c r="A23" s="1185">
        <v>20</v>
      </c>
      <c r="B23" s="307">
        <v>24.76</v>
      </c>
      <c r="C23" s="307">
        <v>26.98</v>
      </c>
      <c r="D23" s="707"/>
      <c r="E23" s="103"/>
      <c r="F23" s="707"/>
      <c r="G23" s="707"/>
    </row>
    <row r="24" spans="1:7">
      <c r="A24" s="1185">
        <v>21</v>
      </c>
      <c r="B24" s="307">
        <v>18.989999999999998</v>
      </c>
      <c r="C24" s="307">
        <v>25.86</v>
      </c>
      <c r="D24" s="707"/>
      <c r="E24" s="103"/>
      <c r="F24" s="707"/>
      <c r="G24" s="707"/>
    </row>
    <row r="25" spans="1:7">
      <c r="A25" s="1185">
        <v>22</v>
      </c>
      <c r="B25" s="307">
        <v>20.64</v>
      </c>
      <c r="C25" s="307">
        <v>25.6</v>
      </c>
      <c r="D25" s="707"/>
      <c r="E25" s="103"/>
      <c r="F25" s="707"/>
      <c r="G25" s="707"/>
    </row>
    <row r="26" spans="1:7">
      <c r="A26" s="1185">
        <v>23</v>
      </c>
      <c r="B26" s="307">
        <v>23.72</v>
      </c>
      <c r="C26" s="307">
        <v>20.36</v>
      </c>
      <c r="D26" s="707"/>
      <c r="E26" s="103"/>
      <c r="F26" s="707"/>
      <c r="G26" s="707"/>
    </row>
    <row r="27" spans="1:7">
      <c r="A27" s="1185">
        <v>24</v>
      </c>
      <c r="B27" s="307">
        <v>23.67</v>
      </c>
      <c r="C27" s="307">
        <v>18.96</v>
      </c>
      <c r="D27" s="707"/>
      <c r="E27" s="103"/>
      <c r="F27" s="707"/>
      <c r="G27" s="707"/>
    </row>
    <row r="28" spans="1:7">
      <c r="A28" s="1185">
        <v>25</v>
      </c>
      <c r="B28" s="307">
        <v>22.58</v>
      </c>
      <c r="C28" s="307">
        <v>21.86</v>
      </c>
      <c r="D28" s="707"/>
      <c r="E28" s="103"/>
      <c r="F28" s="707"/>
      <c r="G28" s="707"/>
    </row>
    <row r="29" spans="1:7">
      <c r="A29" s="1185">
        <v>26</v>
      </c>
      <c r="B29" s="307">
        <v>19.77</v>
      </c>
      <c r="C29" s="307">
        <v>20.71</v>
      </c>
      <c r="D29" s="707"/>
      <c r="E29" s="103"/>
      <c r="F29" s="707"/>
      <c r="G29" s="707"/>
    </row>
    <row r="30" spans="1:7">
      <c r="A30" s="1185">
        <v>27</v>
      </c>
      <c r="B30" s="307">
        <v>26.26</v>
      </c>
      <c r="C30" s="307">
        <v>22.84</v>
      </c>
      <c r="D30" s="707"/>
      <c r="E30" s="103"/>
      <c r="F30" s="707"/>
      <c r="G30" s="707"/>
    </row>
    <row r="31" spans="1:7">
      <c r="A31" s="1185">
        <v>28</v>
      </c>
      <c r="B31" s="307">
        <v>21.61</v>
      </c>
      <c r="C31" s="307">
        <v>22.67</v>
      </c>
      <c r="D31" s="707"/>
      <c r="E31" s="103"/>
      <c r="F31" s="707"/>
      <c r="G31" s="707"/>
    </row>
    <row r="32" spans="1:7">
      <c r="A32" s="1185">
        <v>29</v>
      </c>
      <c r="B32" s="307">
        <v>19.11</v>
      </c>
      <c r="C32" s="307">
        <v>23.29</v>
      </c>
      <c r="D32" s="707"/>
      <c r="E32" s="707"/>
      <c r="F32" s="707"/>
      <c r="G32" s="707"/>
    </row>
    <row r="33" spans="1:3">
      <c r="A33" s="1185">
        <v>30</v>
      </c>
      <c r="B33" s="307">
        <v>22.8</v>
      </c>
      <c r="C33" s="307">
        <v>17.5</v>
      </c>
    </row>
    <row r="34" spans="1:3">
      <c r="A34" s="1185">
        <v>31</v>
      </c>
      <c r="B34" s="307">
        <v>23.93</v>
      </c>
      <c r="C34" s="307"/>
    </row>
    <row r="35" spans="1:3">
      <c r="A35" s="1185">
        <v>32</v>
      </c>
      <c r="B35" s="307">
        <v>21.32</v>
      </c>
      <c r="C35" s="307"/>
    </row>
    <row r="36" spans="1:3">
      <c r="A36" s="1185">
        <v>33</v>
      </c>
      <c r="B36" s="307">
        <v>20.37</v>
      </c>
      <c r="C36" s="307"/>
    </row>
    <row r="37" spans="1:3">
      <c r="A37" s="1185">
        <v>34</v>
      </c>
      <c r="B37" s="307"/>
      <c r="C37" s="307"/>
    </row>
    <row r="38" spans="1:3">
      <c r="A38" s="1185">
        <v>35</v>
      </c>
      <c r="B38" s="307"/>
      <c r="C38" s="307"/>
    </row>
    <row r="39" spans="1:3">
      <c r="A39" s="1185">
        <v>36</v>
      </c>
      <c r="B39" s="307"/>
      <c r="C39" s="307"/>
    </row>
    <row r="40" spans="1:3">
      <c r="A40" s="1185">
        <v>37</v>
      </c>
      <c r="B40" s="307"/>
      <c r="C40" s="307"/>
    </row>
    <row r="41" spans="1:3">
      <c r="A41" s="1185">
        <v>38</v>
      </c>
      <c r="B41" s="307"/>
      <c r="C41" s="307"/>
    </row>
    <row r="42" spans="1:3">
      <c r="A42" s="1185">
        <v>39</v>
      </c>
      <c r="B42" s="307"/>
      <c r="C42" s="307"/>
    </row>
    <row r="43" spans="1:3">
      <c r="A43" s="1185">
        <v>40</v>
      </c>
      <c r="B43" s="307"/>
      <c r="C43" s="307"/>
    </row>
    <row r="44" spans="1:3">
      <c r="A44" s="1185">
        <v>41</v>
      </c>
      <c r="B44" s="307"/>
      <c r="C44" s="307"/>
    </row>
    <row r="45" spans="1:3">
      <c r="A45" s="1185">
        <v>42</v>
      </c>
      <c r="B45" s="307"/>
      <c r="C45" s="307"/>
    </row>
    <row r="46" spans="1:3">
      <c r="A46" s="1185">
        <v>43</v>
      </c>
      <c r="B46" s="307"/>
      <c r="C46" s="307"/>
    </row>
    <row r="47" spans="1:3">
      <c r="A47" s="1185">
        <v>44</v>
      </c>
      <c r="B47" s="307"/>
      <c r="C47" s="307"/>
    </row>
    <row r="48" spans="1:3">
      <c r="A48" s="1185">
        <v>45</v>
      </c>
      <c r="B48" s="307"/>
      <c r="C48" s="307"/>
    </row>
    <row r="49" spans="1:3">
      <c r="A49" s="1185">
        <v>46</v>
      </c>
      <c r="B49" s="307"/>
      <c r="C49" s="307"/>
    </row>
    <row r="50" spans="1:3">
      <c r="A50" s="1185">
        <v>47</v>
      </c>
      <c r="B50" s="307"/>
      <c r="C50" s="307"/>
    </row>
    <row r="51" spans="1:3">
      <c r="A51" s="1185">
        <v>48</v>
      </c>
      <c r="B51" s="307"/>
      <c r="C51" s="307"/>
    </row>
    <row r="52" spans="1:3">
      <c r="A52" s="1185">
        <v>49</v>
      </c>
      <c r="B52" s="307"/>
      <c r="C52" s="307"/>
    </row>
    <row r="53" spans="1:3">
      <c r="A53" s="1185">
        <v>50</v>
      </c>
      <c r="B53" s="307"/>
      <c r="C53" s="307"/>
    </row>
    <row r="54" spans="1:3">
      <c r="A54" s="1185">
        <v>51</v>
      </c>
      <c r="B54" s="307"/>
      <c r="C54" s="307"/>
    </row>
    <row r="55" spans="1:3">
      <c r="A55" s="1185">
        <v>52</v>
      </c>
      <c r="B55" s="307"/>
      <c r="C55" s="307"/>
    </row>
    <row r="56" spans="1:3">
      <c r="A56" s="1185">
        <v>53</v>
      </c>
      <c r="B56" s="307"/>
      <c r="C56" s="307"/>
    </row>
    <row r="57" spans="1:3">
      <c r="A57" s="1185">
        <v>54</v>
      </c>
      <c r="B57" s="307"/>
      <c r="C57" s="307"/>
    </row>
    <row r="58" spans="1:3">
      <c r="A58" s="1185">
        <v>55</v>
      </c>
      <c r="B58" s="307"/>
      <c r="C58" s="307"/>
    </row>
    <row r="59" spans="1:3">
      <c r="A59" s="1185">
        <v>56</v>
      </c>
      <c r="B59" s="307"/>
      <c r="C59" s="307"/>
    </row>
    <row r="60" spans="1:3">
      <c r="A60" s="1185">
        <v>57</v>
      </c>
      <c r="B60" s="307"/>
      <c r="C60" s="307"/>
    </row>
    <row r="61" spans="1:3">
      <c r="A61" s="1185">
        <v>58</v>
      </c>
      <c r="B61" s="307"/>
      <c r="C61" s="307"/>
    </row>
    <row r="62" spans="1:3">
      <c r="A62" s="1185">
        <v>59</v>
      </c>
      <c r="B62" s="307"/>
      <c r="C62" s="307"/>
    </row>
    <row r="63" spans="1:3">
      <c r="A63" s="1185">
        <v>60</v>
      </c>
      <c r="B63" s="307"/>
      <c r="C63" s="307"/>
    </row>
    <row r="64" spans="1:3">
      <c r="A64" s="1185">
        <v>61</v>
      </c>
      <c r="B64" s="307"/>
      <c r="C64" s="307"/>
    </row>
    <row r="65" spans="1:3">
      <c r="A65" s="1185">
        <v>62</v>
      </c>
      <c r="B65" s="307"/>
      <c r="C65" s="307"/>
    </row>
    <row r="66" spans="1:3">
      <c r="A66" s="1185">
        <v>63</v>
      </c>
      <c r="B66" s="307"/>
      <c r="C66" s="307"/>
    </row>
    <row r="67" spans="1:3">
      <c r="A67" s="1185">
        <v>64</v>
      </c>
      <c r="B67" s="307"/>
      <c r="C67" s="307"/>
    </row>
    <row r="68" spans="1:3">
      <c r="A68" s="1185">
        <v>65</v>
      </c>
      <c r="B68" s="307"/>
      <c r="C68" s="307"/>
    </row>
    <row r="69" spans="1:3">
      <c r="A69" s="1185">
        <v>66</v>
      </c>
      <c r="B69" s="307"/>
      <c r="C69" s="307"/>
    </row>
    <row r="70" spans="1:3">
      <c r="A70" s="1185">
        <v>67</v>
      </c>
      <c r="B70" s="307"/>
      <c r="C70" s="307"/>
    </row>
    <row r="71" spans="1:3">
      <c r="A71" s="1185">
        <v>68</v>
      </c>
      <c r="B71" s="307"/>
      <c r="C71" s="307"/>
    </row>
    <row r="72" spans="1:3">
      <c r="A72" s="1185">
        <v>69</v>
      </c>
      <c r="B72" s="307"/>
      <c r="C72" s="307"/>
    </row>
    <row r="73" spans="1:3">
      <c r="A73" s="1185">
        <v>70</v>
      </c>
      <c r="B73" s="307"/>
      <c r="C73" s="307"/>
    </row>
    <row r="74" spans="1:3">
      <c r="A74" s="1185">
        <v>71</v>
      </c>
      <c r="B74" s="307"/>
      <c r="C74" s="307"/>
    </row>
    <row r="75" spans="1:3">
      <c r="A75" s="1185">
        <v>72</v>
      </c>
      <c r="B75" s="307"/>
      <c r="C75" s="307"/>
    </row>
    <row r="76" spans="1:3">
      <c r="A76" s="1185">
        <v>73</v>
      </c>
      <c r="B76" s="307"/>
      <c r="C76" s="307"/>
    </row>
    <row r="77" spans="1:3">
      <c r="A77" s="1185">
        <v>74</v>
      </c>
      <c r="B77" s="307"/>
      <c r="C77" s="307"/>
    </row>
    <row r="78" spans="1:3">
      <c r="A78" s="1185">
        <v>75</v>
      </c>
      <c r="B78" s="307"/>
      <c r="C78" s="307"/>
    </row>
    <row r="79" spans="1:3">
      <c r="A79" s="1185">
        <v>76</v>
      </c>
      <c r="B79" s="307"/>
      <c r="C79" s="307"/>
    </row>
    <row r="80" spans="1:3">
      <c r="A80" s="1185">
        <v>77</v>
      </c>
      <c r="B80" s="307"/>
      <c r="C80" s="307"/>
    </row>
    <row r="81" spans="1:3">
      <c r="A81" s="1185">
        <v>78</v>
      </c>
      <c r="B81" s="307"/>
      <c r="C81" s="307"/>
    </row>
    <row r="82" spans="1:3">
      <c r="A82" s="1185">
        <v>79</v>
      </c>
      <c r="B82" s="307"/>
      <c r="C82" s="307"/>
    </row>
    <row r="83" spans="1:3">
      <c r="A83" s="1185">
        <v>80</v>
      </c>
      <c r="B83" s="307"/>
      <c r="C83" s="307"/>
    </row>
    <row r="84" spans="1:3">
      <c r="A84" s="1185">
        <v>81</v>
      </c>
      <c r="B84" s="307"/>
      <c r="C84" s="307"/>
    </row>
    <row r="85" spans="1:3">
      <c r="A85" s="1185">
        <v>82</v>
      </c>
      <c r="B85" s="307"/>
      <c r="C85" s="307"/>
    </row>
    <row r="86" spans="1:3">
      <c r="A86" s="1185">
        <v>83</v>
      </c>
      <c r="B86" s="307"/>
      <c r="C86" s="307"/>
    </row>
    <row r="87" spans="1:3">
      <c r="A87" s="1185">
        <v>84</v>
      </c>
      <c r="B87" s="307"/>
      <c r="C87" s="307"/>
    </row>
    <row r="88" spans="1:3">
      <c r="A88" s="1185">
        <v>85</v>
      </c>
      <c r="B88" s="307"/>
      <c r="C88" s="307"/>
    </row>
    <row r="89" spans="1:3">
      <c r="A89" s="1185">
        <v>86</v>
      </c>
      <c r="B89" s="307"/>
      <c r="C89" s="307"/>
    </row>
    <row r="90" spans="1:3">
      <c r="A90" s="1185">
        <v>87</v>
      </c>
      <c r="B90" s="307"/>
      <c r="C90" s="307"/>
    </row>
    <row r="91" spans="1:3">
      <c r="A91" s="1185">
        <v>88</v>
      </c>
      <c r="B91" s="307"/>
      <c r="C91" s="307"/>
    </row>
    <row r="92" spans="1:3">
      <c r="A92" s="1185">
        <v>89</v>
      </c>
      <c r="B92" s="307"/>
      <c r="C92" s="307"/>
    </row>
    <row r="93" spans="1:3">
      <c r="A93" s="1185">
        <v>90</v>
      </c>
      <c r="B93" s="307"/>
      <c r="C93" s="307"/>
    </row>
    <row r="94" spans="1:3">
      <c r="A94" s="1185">
        <v>91</v>
      </c>
      <c r="B94" s="307"/>
      <c r="C94" s="307"/>
    </row>
    <row r="95" spans="1:3">
      <c r="A95" s="1185">
        <v>92</v>
      </c>
      <c r="B95" s="307"/>
      <c r="C95" s="307"/>
    </row>
    <row r="96" spans="1:3">
      <c r="A96" s="1185">
        <v>93</v>
      </c>
      <c r="B96" s="307"/>
      <c r="C96" s="307"/>
    </row>
    <row r="97" spans="1:3">
      <c r="A97" s="1185">
        <v>94</v>
      </c>
      <c r="B97" s="307"/>
      <c r="C97" s="307"/>
    </row>
    <row r="98" spans="1:3">
      <c r="A98" s="1185">
        <v>95</v>
      </c>
      <c r="B98" s="307"/>
      <c r="C98" s="307"/>
    </row>
    <row r="99" spans="1:3">
      <c r="A99" s="1185">
        <v>96</v>
      </c>
      <c r="B99" s="307"/>
      <c r="C99" s="307"/>
    </row>
    <row r="100" spans="1:3">
      <c r="A100" s="1185">
        <v>97</v>
      </c>
      <c r="B100" s="307"/>
      <c r="C100" s="307"/>
    </row>
    <row r="101" spans="1:3">
      <c r="A101" s="1185">
        <v>98</v>
      </c>
      <c r="B101" s="307"/>
      <c r="C101" s="307"/>
    </row>
    <row r="102" spans="1:3">
      <c r="A102" s="1185">
        <v>99</v>
      </c>
      <c r="B102" s="307"/>
      <c r="C102" s="307"/>
    </row>
    <row r="103" spans="1:3">
      <c r="A103" s="1185">
        <v>100</v>
      </c>
      <c r="B103" s="307"/>
      <c r="C103" s="307"/>
    </row>
    <row r="104" spans="1:3">
      <c r="A104" s="1185">
        <v>101</v>
      </c>
      <c r="B104" s="307"/>
      <c r="C104" s="307"/>
    </row>
    <row r="105" spans="1:3">
      <c r="A105" s="1185">
        <v>102</v>
      </c>
      <c r="B105" s="307"/>
      <c r="C105" s="307"/>
    </row>
    <row r="106" spans="1:3">
      <c r="A106" s="1185">
        <v>103</v>
      </c>
      <c r="B106" s="307"/>
      <c r="C106" s="307"/>
    </row>
    <row r="107" spans="1:3">
      <c r="A107" s="1185">
        <v>104</v>
      </c>
      <c r="B107" s="307"/>
      <c r="C107" s="307"/>
    </row>
    <row r="108" spans="1:3">
      <c r="A108" s="1185">
        <v>105</v>
      </c>
      <c r="B108" s="307"/>
      <c r="C108" s="307"/>
    </row>
    <row r="109" spans="1:3">
      <c r="A109" s="1185">
        <v>106</v>
      </c>
      <c r="B109" s="307"/>
      <c r="C109" s="307"/>
    </row>
    <row r="110" spans="1:3">
      <c r="A110" s="1185">
        <v>107</v>
      </c>
      <c r="B110" s="307"/>
      <c r="C110" s="307"/>
    </row>
    <row r="111" spans="1:3">
      <c r="A111" s="1185">
        <v>108</v>
      </c>
      <c r="B111" s="307"/>
      <c r="C111" s="307"/>
    </row>
    <row r="112" spans="1:3">
      <c r="A112" s="1185">
        <v>109</v>
      </c>
      <c r="B112" s="307"/>
      <c r="C112" s="307"/>
    </row>
    <row r="113" spans="1:3">
      <c r="A113" s="1185">
        <v>110</v>
      </c>
      <c r="B113" s="307"/>
      <c r="C113" s="307"/>
    </row>
    <row r="114" spans="1:3">
      <c r="A114" s="1185">
        <v>111</v>
      </c>
      <c r="B114" s="307"/>
      <c r="C114" s="307"/>
    </row>
    <row r="115" spans="1:3">
      <c r="A115" s="1185">
        <v>112</v>
      </c>
      <c r="B115" s="307"/>
      <c r="C115" s="307"/>
    </row>
    <row r="116" spans="1:3">
      <c r="A116" s="1185">
        <v>113</v>
      </c>
      <c r="B116" s="307"/>
      <c r="C116" s="307"/>
    </row>
    <row r="117" spans="1:3">
      <c r="A117" s="1185">
        <v>114</v>
      </c>
      <c r="B117" s="307"/>
      <c r="C117" s="307"/>
    </row>
    <row r="118" spans="1:3">
      <c r="A118" s="1185">
        <v>115</v>
      </c>
      <c r="B118" s="307"/>
      <c r="C118" s="307"/>
    </row>
    <row r="119" spans="1:3">
      <c r="A119" s="1185">
        <v>116</v>
      </c>
      <c r="B119" s="307"/>
      <c r="C119" s="307"/>
    </row>
    <row r="120" spans="1:3">
      <c r="A120" s="1185">
        <v>117</v>
      </c>
      <c r="B120" s="307"/>
      <c r="C120" s="307"/>
    </row>
    <row r="121" spans="1:3">
      <c r="A121" s="1185">
        <v>118</v>
      </c>
      <c r="B121" s="307"/>
      <c r="C121" s="307"/>
    </row>
    <row r="122" spans="1:3">
      <c r="A122" s="1185">
        <v>119</v>
      </c>
      <c r="B122" s="307"/>
      <c r="C122" s="307"/>
    </row>
    <row r="123" spans="1:3">
      <c r="A123" s="1185">
        <v>120</v>
      </c>
      <c r="B123" s="307"/>
      <c r="C123" s="307"/>
    </row>
    <row r="124" spans="1:3">
      <c r="A124" s="1185">
        <v>121</v>
      </c>
      <c r="B124" s="307"/>
      <c r="C124" s="307"/>
    </row>
    <row r="125" spans="1:3">
      <c r="A125" s="1185">
        <v>122</v>
      </c>
      <c r="B125" s="307"/>
      <c r="C125" s="307"/>
    </row>
    <row r="126" spans="1:3">
      <c r="A126" s="1185">
        <v>123</v>
      </c>
      <c r="B126" s="307"/>
      <c r="C126" s="307"/>
    </row>
    <row r="127" spans="1:3">
      <c r="A127" s="1185">
        <v>124</v>
      </c>
      <c r="B127" s="307"/>
      <c r="C127" s="307"/>
    </row>
    <row r="128" spans="1:3">
      <c r="A128" s="1185">
        <v>125</v>
      </c>
      <c r="B128" s="307"/>
      <c r="C128" s="307"/>
    </row>
    <row r="129" spans="1:3">
      <c r="A129" s="1185">
        <v>126</v>
      </c>
      <c r="B129" s="307"/>
      <c r="C129" s="307"/>
    </row>
    <row r="130" spans="1:3">
      <c r="A130" s="1185">
        <v>127</v>
      </c>
      <c r="B130" s="307"/>
      <c r="C130" s="307"/>
    </row>
    <row r="131" spans="1:3">
      <c r="A131" s="1185">
        <v>128</v>
      </c>
      <c r="B131" s="307"/>
      <c r="C131" s="307"/>
    </row>
    <row r="132" spans="1:3">
      <c r="A132" s="1185">
        <v>129</v>
      </c>
      <c r="B132" s="307"/>
      <c r="C132" s="307"/>
    </row>
    <row r="133" spans="1:3">
      <c r="A133" s="1185">
        <v>130</v>
      </c>
      <c r="B133" s="307"/>
      <c r="C133" s="307"/>
    </row>
    <row r="134" spans="1:3">
      <c r="A134" s="1185">
        <v>131</v>
      </c>
      <c r="B134" s="307"/>
      <c r="C134" s="307"/>
    </row>
    <row r="135" spans="1:3">
      <c r="A135" s="1185">
        <v>132</v>
      </c>
      <c r="B135" s="307"/>
      <c r="C135" s="307"/>
    </row>
    <row r="136" spans="1:3">
      <c r="A136" s="1185">
        <v>133</v>
      </c>
      <c r="B136" s="307"/>
      <c r="C136" s="307"/>
    </row>
    <row r="137" spans="1:3">
      <c r="A137" s="1185">
        <v>134</v>
      </c>
      <c r="B137" s="307"/>
      <c r="C137" s="307"/>
    </row>
    <row r="138" spans="1:3">
      <c r="A138" s="1185">
        <v>135</v>
      </c>
      <c r="B138" s="307"/>
      <c r="C138" s="307"/>
    </row>
    <row r="139" spans="1:3">
      <c r="A139" s="1185">
        <v>136</v>
      </c>
      <c r="B139" s="307"/>
      <c r="C139" s="307"/>
    </row>
    <row r="140" spans="1:3">
      <c r="A140" s="1185">
        <v>137</v>
      </c>
      <c r="B140" s="307"/>
      <c r="C140" s="307"/>
    </row>
    <row r="141" spans="1:3">
      <c r="A141" s="1185">
        <v>138</v>
      </c>
      <c r="B141" s="307"/>
      <c r="C141" s="307"/>
    </row>
    <row r="142" spans="1:3">
      <c r="A142" s="1185">
        <v>139</v>
      </c>
      <c r="B142" s="307"/>
      <c r="C142" s="307"/>
    </row>
    <row r="143" spans="1:3">
      <c r="A143" s="1185">
        <v>140</v>
      </c>
      <c r="B143" s="307"/>
      <c r="C143" s="307"/>
    </row>
    <row r="144" spans="1:3">
      <c r="A144" s="1185">
        <v>141</v>
      </c>
      <c r="B144" s="307"/>
      <c r="C144" s="307"/>
    </row>
    <row r="145" spans="1:3">
      <c r="A145" s="1185">
        <v>142</v>
      </c>
      <c r="B145" s="307"/>
      <c r="C145" s="307"/>
    </row>
    <row r="146" spans="1:3">
      <c r="A146" s="1185">
        <v>143</v>
      </c>
      <c r="B146" s="307"/>
      <c r="C146" s="307"/>
    </row>
    <row r="147" spans="1:3">
      <c r="A147" s="1185">
        <v>144</v>
      </c>
      <c r="B147" s="307"/>
      <c r="C147" s="307"/>
    </row>
    <row r="148" spans="1:3">
      <c r="A148" s="1185">
        <v>145</v>
      </c>
      <c r="B148" s="307"/>
      <c r="C148" s="307"/>
    </row>
    <row r="149" spans="1:3">
      <c r="A149" s="1185">
        <v>146</v>
      </c>
      <c r="B149" s="307"/>
      <c r="C149" s="307"/>
    </row>
    <row r="150" spans="1:3">
      <c r="A150" s="1185">
        <v>147</v>
      </c>
      <c r="B150" s="307"/>
      <c r="C150" s="307"/>
    </row>
    <row r="151" spans="1:3">
      <c r="A151" s="1185">
        <v>148</v>
      </c>
      <c r="B151" s="307"/>
      <c r="C151" s="307"/>
    </row>
    <row r="152" spans="1:3">
      <c r="A152" s="1185">
        <v>149</v>
      </c>
      <c r="B152" s="307"/>
      <c r="C152" s="307"/>
    </row>
    <row r="153" spans="1:3">
      <c r="A153" s="1185">
        <v>150</v>
      </c>
      <c r="B153" s="307"/>
      <c r="C153" s="307"/>
    </row>
    <row r="154" spans="1:3">
      <c r="A154" s="1185">
        <v>151</v>
      </c>
      <c r="B154" s="307"/>
      <c r="C154" s="307"/>
    </row>
    <row r="155" spans="1:3">
      <c r="A155" s="1185">
        <v>152</v>
      </c>
      <c r="B155" s="307"/>
      <c r="C155" s="307"/>
    </row>
    <row r="156" spans="1:3">
      <c r="A156" s="1185">
        <v>153</v>
      </c>
      <c r="B156" s="307"/>
      <c r="C156" s="307"/>
    </row>
    <row r="157" spans="1:3">
      <c r="A157" s="1185">
        <v>154</v>
      </c>
      <c r="B157" s="307"/>
      <c r="C157" s="307"/>
    </row>
    <row r="158" spans="1:3">
      <c r="A158" s="1185">
        <v>155</v>
      </c>
      <c r="B158" s="307"/>
      <c r="C158" s="307"/>
    </row>
    <row r="159" spans="1:3">
      <c r="A159" s="1185">
        <v>156</v>
      </c>
      <c r="B159" s="307"/>
      <c r="C159" s="307"/>
    </row>
    <row r="160" spans="1:3">
      <c r="A160" s="1185">
        <v>157</v>
      </c>
      <c r="B160" s="307"/>
      <c r="C160" s="307"/>
    </row>
    <row r="161" spans="1:3">
      <c r="A161" s="1185">
        <v>158</v>
      </c>
      <c r="B161" s="307"/>
      <c r="C161" s="307"/>
    </row>
    <row r="162" spans="1:3">
      <c r="A162" s="1185">
        <v>159</v>
      </c>
      <c r="B162" s="307"/>
      <c r="C162" s="307"/>
    </row>
    <row r="163" spans="1:3">
      <c r="A163" s="1185">
        <v>160</v>
      </c>
      <c r="B163" s="307"/>
      <c r="C163" s="307"/>
    </row>
    <row r="164" spans="1:3">
      <c r="A164" s="1185">
        <v>161</v>
      </c>
      <c r="B164" s="307"/>
      <c r="C164" s="307"/>
    </row>
    <row r="165" spans="1:3">
      <c r="A165" s="1185">
        <v>162</v>
      </c>
      <c r="B165" s="307"/>
      <c r="C165" s="307"/>
    </row>
    <row r="166" spans="1:3">
      <c r="A166" s="1185">
        <v>163</v>
      </c>
      <c r="B166" s="307"/>
      <c r="C166" s="307"/>
    </row>
    <row r="167" spans="1:3">
      <c r="A167" s="1185">
        <v>164</v>
      </c>
      <c r="B167" s="307"/>
      <c r="C167" s="307"/>
    </row>
    <row r="168" spans="1:3">
      <c r="A168" s="1185">
        <v>165</v>
      </c>
      <c r="B168" s="307"/>
      <c r="C168" s="307"/>
    </row>
    <row r="169" spans="1:3">
      <c r="A169" s="1185">
        <v>166</v>
      </c>
      <c r="B169" s="307"/>
      <c r="C169" s="307"/>
    </row>
    <row r="170" spans="1:3">
      <c r="A170" s="1185">
        <v>167</v>
      </c>
      <c r="B170" s="307"/>
      <c r="C170" s="307"/>
    </row>
    <row r="171" spans="1:3">
      <c r="A171" s="1185">
        <v>168</v>
      </c>
      <c r="B171" s="307"/>
      <c r="C171" s="307"/>
    </row>
    <row r="172" spans="1:3">
      <c r="A172" s="1185">
        <v>169</v>
      </c>
      <c r="B172" s="307"/>
      <c r="C172" s="307"/>
    </row>
    <row r="173" spans="1:3">
      <c r="A173" s="1185">
        <v>170</v>
      </c>
      <c r="B173" s="307"/>
      <c r="C173" s="307"/>
    </row>
    <row r="174" spans="1:3">
      <c r="A174" s="1185">
        <v>171</v>
      </c>
      <c r="B174" s="307"/>
      <c r="C174" s="307"/>
    </row>
    <row r="175" spans="1:3">
      <c r="A175" s="1185">
        <v>172</v>
      </c>
      <c r="B175" s="307"/>
      <c r="C175" s="307"/>
    </row>
    <row r="176" spans="1:3">
      <c r="A176" s="1185">
        <v>173</v>
      </c>
      <c r="B176" s="307"/>
      <c r="C176" s="307"/>
    </row>
    <row r="177" spans="1:3">
      <c r="A177" s="1185">
        <v>174</v>
      </c>
      <c r="B177" s="307"/>
      <c r="C177" s="307"/>
    </row>
    <row r="178" spans="1:3">
      <c r="A178" s="1185">
        <v>175</v>
      </c>
      <c r="B178" s="307"/>
      <c r="C178" s="307"/>
    </row>
    <row r="179" spans="1:3">
      <c r="A179" s="1185">
        <v>176</v>
      </c>
      <c r="B179" s="307"/>
      <c r="C179" s="307"/>
    </row>
    <row r="180" spans="1:3">
      <c r="A180" s="1185">
        <v>177</v>
      </c>
      <c r="B180" s="307"/>
      <c r="C180" s="307"/>
    </row>
    <row r="181" spans="1:3">
      <c r="A181" s="1185">
        <v>178</v>
      </c>
      <c r="B181" s="307"/>
      <c r="C181" s="307"/>
    </row>
    <row r="182" spans="1:3">
      <c r="A182" s="1185">
        <v>179</v>
      </c>
      <c r="B182" s="307"/>
      <c r="C182" s="307"/>
    </row>
    <row r="183" spans="1:3">
      <c r="A183" s="1185">
        <v>180</v>
      </c>
      <c r="B183" s="307"/>
      <c r="C183" s="307"/>
    </row>
    <row r="184" spans="1:3">
      <c r="A184" s="1185">
        <v>181</v>
      </c>
      <c r="B184" s="307"/>
      <c r="C184" s="307"/>
    </row>
    <row r="185" spans="1:3">
      <c r="A185" s="1185">
        <v>182</v>
      </c>
      <c r="B185" s="307"/>
      <c r="C185" s="307"/>
    </row>
    <row r="186" spans="1:3">
      <c r="A186" s="1185">
        <v>183</v>
      </c>
      <c r="B186" s="307"/>
      <c r="C186" s="307"/>
    </row>
    <row r="187" spans="1:3">
      <c r="A187" s="1185">
        <v>184</v>
      </c>
      <c r="B187" s="307"/>
      <c r="C187" s="307"/>
    </row>
    <row r="188" spans="1:3">
      <c r="A188" s="1185">
        <v>185</v>
      </c>
      <c r="B188" s="307"/>
      <c r="C188" s="307"/>
    </row>
    <row r="189" spans="1:3">
      <c r="A189" s="1185">
        <v>186</v>
      </c>
      <c r="B189" s="307"/>
      <c r="C189" s="307"/>
    </row>
    <row r="190" spans="1:3">
      <c r="A190" s="1185">
        <v>187</v>
      </c>
      <c r="B190" s="307"/>
      <c r="C190" s="307"/>
    </row>
    <row r="191" spans="1:3">
      <c r="A191" s="1185">
        <v>188</v>
      </c>
      <c r="B191" s="307"/>
      <c r="C191" s="307"/>
    </row>
    <row r="192" spans="1:3">
      <c r="A192" s="1185">
        <v>189</v>
      </c>
      <c r="B192" s="307"/>
      <c r="C192" s="307"/>
    </row>
    <row r="193" spans="1:3">
      <c r="A193" s="1185">
        <v>190</v>
      </c>
      <c r="B193" s="307"/>
      <c r="C193" s="307"/>
    </row>
    <row r="194" spans="1:3">
      <c r="A194" s="1185">
        <v>191</v>
      </c>
      <c r="B194" s="307"/>
      <c r="C194" s="307"/>
    </row>
    <row r="195" spans="1:3">
      <c r="A195" s="1185">
        <v>192</v>
      </c>
      <c r="B195" s="307"/>
      <c r="C195" s="307"/>
    </row>
    <row r="196" spans="1:3">
      <c r="A196" s="1185">
        <v>193</v>
      </c>
      <c r="B196" s="307"/>
      <c r="C196" s="307"/>
    </row>
    <row r="197" spans="1:3">
      <c r="A197" s="1185">
        <v>194</v>
      </c>
      <c r="B197" s="307"/>
      <c r="C197" s="307"/>
    </row>
    <row r="198" spans="1:3">
      <c r="A198" s="1185">
        <v>195</v>
      </c>
      <c r="B198" s="307"/>
      <c r="C198" s="307"/>
    </row>
    <row r="199" spans="1:3">
      <c r="A199" s="1185">
        <v>196</v>
      </c>
      <c r="B199" s="307"/>
      <c r="C199" s="307"/>
    </row>
    <row r="200" spans="1:3">
      <c r="A200" s="1185">
        <v>197</v>
      </c>
      <c r="B200" s="307"/>
      <c r="C200" s="307"/>
    </row>
    <row r="201" spans="1:3">
      <c r="A201" s="1185">
        <v>198</v>
      </c>
      <c r="B201" s="307"/>
      <c r="C201" s="307"/>
    </row>
    <row r="202" spans="1:3">
      <c r="A202" s="1185">
        <v>199</v>
      </c>
      <c r="B202" s="307"/>
      <c r="C202" s="307"/>
    </row>
    <row r="203" spans="1:3">
      <c r="A203" s="1185">
        <v>200</v>
      </c>
      <c r="B203" s="307"/>
      <c r="C203" s="307"/>
    </row>
    <row r="204" spans="1:3">
      <c r="A204" s="1185">
        <v>201</v>
      </c>
      <c r="B204" s="307"/>
      <c r="C204" s="307"/>
    </row>
    <row r="205" spans="1:3">
      <c r="A205" s="1185">
        <v>202</v>
      </c>
      <c r="B205" s="307"/>
      <c r="C205" s="307"/>
    </row>
    <row r="206" spans="1:3">
      <c r="A206" s="1185">
        <v>203</v>
      </c>
      <c r="B206" s="307"/>
      <c r="C206" s="307"/>
    </row>
    <row r="207" spans="1:3">
      <c r="A207" s="1185">
        <v>204</v>
      </c>
      <c r="B207" s="307"/>
      <c r="C207" s="307"/>
    </row>
    <row r="208" spans="1:3">
      <c r="A208" s="1185">
        <v>205</v>
      </c>
      <c r="B208" s="307"/>
      <c r="C208" s="307"/>
    </row>
    <row r="209" spans="1:3">
      <c r="A209" s="1185">
        <v>206</v>
      </c>
      <c r="B209" s="307"/>
      <c r="C209" s="307"/>
    </row>
    <row r="210" spans="1:3">
      <c r="A210" s="1185">
        <v>207</v>
      </c>
      <c r="B210" s="307"/>
      <c r="C210" s="307"/>
    </row>
    <row r="211" spans="1:3">
      <c r="A211" s="1185">
        <v>208</v>
      </c>
      <c r="B211" s="307"/>
      <c r="C211" s="307"/>
    </row>
    <row r="212" spans="1:3">
      <c r="A212" s="1185">
        <v>209</v>
      </c>
      <c r="B212" s="307"/>
      <c r="C212" s="307"/>
    </row>
    <row r="213" spans="1:3">
      <c r="A213" s="1185">
        <v>210</v>
      </c>
      <c r="B213" s="307"/>
      <c r="C213" s="307"/>
    </row>
    <row r="214" spans="1:3">
      <c r="A214" s="1185">
        <v>211</v>
      </c>
      <c r="B214" s="307"/>
      <c r="C214" s="307"/>
    </row>
    <row r="215" spans="1:3">
      <c r="A215" s="1185">
        <v>212</v>
      </c>
      <c r="B215" s="307"/>
      <c r="C215" s="307"/>
    </row>
    <row r="216" spans="1:3">
      <c r="A216" s="1185">
        <v>213</v>
      </c>
      <c r="B216" s="307"/>
      <c r="C216" s="307"/>
    </row>
    <row r="217" spans="1:3">
      <c r="A217" s="1185">
        <v>214</v>
      </c>
      <c r="B217" s="307"/>
      <c r="C217" s="307"/>
    </row>
    <row r="218" spans="1:3">
      <c r="A218" s="1185">
        <v>215</v>
      </c>
      <c r="B218" s="307"/>
      <c r="C218" s="307"/>
    </row>
    <row r="219" spans="1:3">
      <c r="A219" s="1185">
        <v>216</v>
      </c>
      <c r="B219" s="307"/>
      <c r="C219" s="307"/>
    </row>
    <row r="220" spans="1:3">
      <c r="A220" s="1185">
        <v>217</v>
      </c>
      <c r="B220" s="307"/>
      <c r="C220" s="307"/>
    </row>
    <row r="221" spans="1:3">
      <c r="A221" s="1185">
        <v>218</v>
      </c>
      <c r="B221" s="307"/>
      <c r="C221" s="307"/>
    </row>
    <row r="222" spans="1:3">
      <c r="A222" s="1185">
        <v>219</v>
      </c>
      <c r="B222" s="307"/>
      <c r="C222" s="307"/>
    </row>
    <row r="223" spans="1:3">
      <c r="A223" s="1185">
        <v>220</v>
      </c>
      <c r="B223" s="307"/>
      <c r="C223" s="307"/>
    </row>
    <row r="224" spans="1:3">
      <c r="A224" s="1185">
        <v>221</v>
      </c>
      <c r="B224" s="307"/>
      <c r="C224" s="307"/>
    </row>
    <row r="225" spans="1:3">
      <c r="A225" s="1185">
        <v>222</v>
      </c>
      <c r="B225" s="307"/>
      <c r="C225" s="307"/>
    </row>
    <row r="226" spans="1:3">
      <c r="A226" s="1185">
        <v>223</v>
      </c>
      <c r="B226" s="307"/>
      <c r="C226" s="307"/>
    </row>
    <row r="227" spans="1:3">
      <c r="A227" s="1185">
        <v>224</v>
      </c>
      <c r="B227" s="307"/>
      <c r="C227" s="307"/>
    </row>
    <row r="228" spans="1:3">
      <c r="A228" s="1185">
        <v>225</v>
      </c>
      <c r="B228" s="307"/>
      <c r="C228" s="307"/>
    </row>
    <row r="229" spans="1:3">
      <c r="A229" s="1185">
        <v>226</v>
      </c>
      <c r="B229" s="307"/>
      <c r="C229" s="307"/>
    </row>
    <row r="230" spans="1:3">
      <c r="A230" s="1185">
        <v>227</v>
      </c>
      <c r="B230" s="307"/>
      <c r="C230" s="307"/>
    </row>
    <row r="231" spans="1:3">
      <c r="A231" s="1185">
        <v>228</v>
      </c>
      <c r="B231" s="307"/>
      <c r="C231" s="307"/>
    </row>
    <row r="232" spans="1:3">
      <c r="A232" s="1185">
        <v>229</v>
      </c>
      <c r="B232" s="307"/>
      <c r="C232" s="307"/>
    </row>
    <row r="233" spans="1:3">
      <c r="A233" s="1185">
        <v>230</v>
      </c>
      <c r="B233" s="307"/>
      <c r="C233" s="307"/>
    </row>
    <row r="234" spans="1:3">
      <c r="A234" s="1185">
        <v>231</v>
      </c>
      <c r="B234" s="307"/>
      <c r="C234" s="307"/>
    </row>
    <row r="235" spans="1:3">
      <c r="A235" s="1185">
        <v>232</v>
      </c>
      <c r="B235" s="307"/>
      <c r="C235" s="307"/>
    </row>
    <row r="236" spans="1:3">
      <c r="A236" s="1185">
        <v>233</v>
      </c>
      <c r="B236" s="307"/>
      <c r="C236" s="307"/>
    </row>
    <row r="237" spans="1:3">
      <c r="A237" s="1185">
        <v>234</v>
      </c>
      <c r="B237" s="307"/>
      <c r="C237" s="307"/>
    </row>
    <row r="238" spans="1:3">
      <c r="A238" s="1185">
        <v>235</v>
      </c>
      <c r="B238" s="307"/>
      <c r="C238" s="307"/>
    </row>
    <row r="239" spans="1:3">
      <c r="A239" s="1185">
        <v>236</v>
      </c>
      <c r="B239" s="307"/>
      <c r="C239" s="307"/>
    </row>
    <row r="240" spans="1:3">
      <c r="A240" s="1185">
        <v>237</v>
      </c>
      <c r="B240" s="307"/>
      <c r="C240" s="307"/>
    </row>
    <row r="241" spans="1:3">
      <c r="A241" s="1185">
        <v>238</v>
      </c>
      <c r="B241" s="307"/>
      <c r="C241" s="307"/>
    </row>
    <row r="242" spans="1:3">
      <c r="A242" s="1185">
        <v>239</v>
      </c>
      <c r="B242" s="307"/>
      <c r="C242" s="307"/>
    </row>
    <row r="243" spans="1:3">
      <c r="A243" s="1185">
        <v>240</v>
      </c>
      <c r="B243" s="307"/>
      <c r="C243" s="307"/>
    </row>
    <row r="244" spans="1:3">
      <c r="A244" s="1185">
        <v>241</v>
      </c>
      <c r="B244" s="307"/>
      <c r="C244" s="307"/>
    </row>
    <row r="245" spans="1:3">
      <c r="A245" s="1185">
        <v>242</v>
      </c>
      <c r="B245" s="307"/>
      <c r="C245" s="307"/>
    </row>
    <row r="246" spans="1:3">
      <c r="A246" s="1185">
        <v>243</v>
      </c>
      <c r="B246" s="307"/>
      <c r="C246" s="307"/>
    </row>
    <row r="247" spans="1:3">
      <c r="A247" s="1185">
        <v>244</v>
      </c>
      <c r="B247" s="307"/>
      <c r="C247" s="307"/>
    </row>
    <row r="248" spans="1:3">
      <c r="A248" s="1185">
        <v>245</v>
      </c>
      <c r="B248" s="307"/>
      <c r="C248" s="307"/>
    </row>
    <row r="249" spans="1:3">
      <c r="A249" s="1185">
        <v>246</v>
      </c>
      <c r="B249" s="307"/>
      <c r="C249" s="307"/>
    </row>
    <row r="250" spans="1:3">
      <c r="A250" s="1185">
        <v>247</v>
      </c>
      <c r="B250" s="307"/>
      <c r="C250" s="307"/>
    </row>
    <row r="251" spans="1:3">
      <c r="A251" s="1185">
        <v>248</v>
      </c>
      <c r="B251" s="307"/>
      <c r="C251" s="307"/>
    </row>
    <row r="252" spans="1:3">
      <c r="A252" s="1185">
        <v>249</v>
      </c>
      <c r="B252" s="307"/>
      <c r="C252" s="307"/>
    </row>
    <row r="253" spans="1:3">
      <c r="A253" s="1185">
        <v>250</v>
      </c>
      <c r="B253" s="307"/>
      <c r="C253" s="307"/>
    </row>
    <row r="254" spans="1:3">
      <c r="A254" s="1185">
        <v>251</v>
      </c>
      <c r="B254" s="307"/>
      <c r="C254" s="307"/>
    </row>
    <row r="255" spans="1:3">
      <c r="A255" s="1185">
        <v>252</v>
      </c>
      <c r="B255" s="307"/>
      <c r="C255" s="307"/>
    </row>
    <row r="256" spans="1:3">
      <c r="A256" s="1185">
        <v>253</v>
      </c>
      <c r="B256" s="307"/>
      <c r="C256" s="307"/>
    </row>
    <row r="257" spans="1:3">
      <c r="A257" s="1185">
        <v>254</v>
      </c>
      <c r="B257" s="307"/>
      <c r="C257" s="307"/>
    </row>
    <row r="258" spans="1:3">
      <c r="A258" s="1185">
        <v>255</v>
      </c>
      <c r="B258" s="307"/>
      <c r="C258" s="307"/>
    </row>
    <row r="259" spans="1:3">
      <c r="A259" s="1185">
        <v>256</v>
      </c>
      <c r="B259" s="307"/>
      <c r="C259" s="307"/>
    </row>
    <row r="260" spans="1:3">
      <c r="A260" s="1185">
        <v>257</v>
      </c>
      <c r="B260" s="307"/>
      <c r="C260" s="307"/>
    </row>
    <row r="261" spans="1:3">
      <c r="A261" s="1185">
        <v>258</v>
      </c>
      <c r="B261" s="307"/>
      <c r="C261" s="307"/>
    </row>
    <row r="262" spans="1:3">
      <c r="A262" s="1185">
        <v>259</v>
      </c>
      <c r="B262" s="307"/>
      <c r="C262" s="307"/>
    </row>
    <row r="263" spans="1:3">
      <c r="A263" s="1185">
        <v>260</v>
      </c>
      <c r="B263" s="307"/>
      <c r="C263" s="307"/>
    </row>
    <row r="264" spans="1:3">
      <c r="A264" s="1185">
        <v>261</v>
      </c>
      <c r="B264" s="307"/>
      <c r="C264" s="307"/>
    </row>
    <row r="265" spans="1:3">
      <c r="A265" s="1185">
        <v>262</v>
      </c>
      <c r="B265" s="307"/>
      <c r="C265" s="307"/>
    </row>
    <row r="266" spans="1:3">
      <c r="A266" s="1185">
        <v>263</v>
      </c>
      <c r="B266" s="307"/>
      <c r="C266" s="307"/>
    </row>
    <row r="267" spans="1:3">
      <c r="A267" s="1185">
        <v>264</v>
      </c>
      <c r="B267" s="307"/>
      <c r="C267" s="307"/>
    </row>
    <row r="268" spans="1:3">
      <c r="A268" s="1185">
        <v>265</v>
      </c>
      <c r="B268" s="307"/>
      <c r="C268" s="307"/>
    </row>
    <row r="269" spans="1:3">
      <c r="A269" s="1185">
        <v>266</v>
      </c>
      <c r="B269" s="307"/>
      <c r="C269" s="307"/>
    </row>
    <row r="270" spans="1:3">
      <c r="A270" s="1185">
        <v>267</v>
      </c>
      <c r="B270" s="307"/>
      <c r="C270" s="307"/>
    </row>
    <row r="271" spans="1:3">
      <c r="A271" s="1185">
        <v>268</v>
      </c>
      <c r="B271" s="307"/>
      <c r="C271" s="307"/>
    </row>
    <row r="272" spans="1:3">
      <c r="A272" s="1185">
        <v>269</v>
      </c>
      <c r="B272" s="307"/>
      <c r="C272" s="307"/>
    </row>
    <row r="273" spans="1:3">
      <c r="A273" s="1185">
        <v>270</v>
      </c>
      <c r="B273" s="307"/>
      <c r="C273" s="307"/>
    </row>
    <row r="274" spans="1:3">
      <c r="A274" s="1185">
        <v>271</v>
      </c>
      <c r="B274" s="307"/>
      <c r="C274" s="307"/>
    </row>
    <row r="275" spans="1:3">
      <c r="A275" s="1185">
        <v>272</v>
      </c>
      <c r="B275" s="307"/>
      <c r="C275" s="307"/>
    </row>
    <row r="276" spans="1:3">
      <c r="A276" s="1185">
        <v>273</v>
      </c>
      <c r="B276" s="307"/>
      <c r="C276" s="307"/>
    </row>
    <row r="277" spans="1:3">
      <c r="A277" s="1185">
        <v>274</v>
      </c>
      <c r="B277" s="307"/>
      <c r="C277" s="307"/>
    </row>
    <row r="278" spans="1:3">
      <c r="A278" s="1185">
        <v>275</v>
      </c>
      <c r="B278" s="307"/>
      <c r="C278" s="307"/>
    </row>
    <row r="279" spans="1:3">
      <c r="A279" s="1185">
        <v>276</v>
      </c>
      <c r="B279" s="307"/>
      <c r="C279" s="307"/>
    </row>
    <row r="280" spans="1:3">
      <c r="A280" s="1185">
        <v>277</v>
      </c>
      <c r="B280" s="307"/>
      <c r="C280" s="307"/>
    </row>
    <row r="281" spans="1:3">
      <c r="A281" s="1185">
        <v>278</v>
      </c>
      <c r="B281" s="307"/>
      <c r="C281" s="307"/>
    </row>
    <row r="282" spans="1:3">
      <c r="A282" s="1185">
        <v>279</v>
      </c>
      <c r="B282" s="307"/>
      <c r="C282" s="307"/>
    </row>
    <row r="283" spans="1:3">
      <c r="A283" s="1185">
        <v>280</v>
      </c>
      <c r="B283" s="307"/>
      <c r="C283" s="307"/>
    </row>
    <row r="284" spans="1:3">
      <c r="A284" s="1185">
        <v>281</v>
      </c>
      <c r="B284" s="307"/>
      <c r="C284" s="307"/>
    </row>
    <row r="285" spans="1:3">
      <c r="A285" s="1185">
        <v>282</v>
      </c>
      <c r="B285" s="307"/>
      <c r="C285" s="307"/>
    </row>
    <row r="286" spans="1:3">
      <c r="A286" s="1185">
        <v>283</v>
      </c>
      <c r="B286" s="307"/>
      <c r="C286" s="307"/>
    </row>
    <row r="287" spans="1:3">
      <c r="A287" s="1185">
        <v>284</v>
      </c>
      <c r="B287" s="307"/>
      <c r="C287" s="307"/>
    </row>
    <row r="288" spans="1:3">
      <c r="A288" s="1185">
        <v>285</v>
      </c>
      <c r="B288" s="307"/>
      <c r="C288" s="307"/>
    </row>
    <row r="289" spans="1:3">
      <c r="A289" s="1185">
        <v>286</v>
      </c>
      <c r="B289" s="307"/>
      <c r="C289" s="307"/>
    </row>
    <row r="290" spans="1:3">
      <c r="A290" s="1185">
        <v>287</v>
      </c>
      <c r="B290" s="307"/>
      <c r="C290" s="307"/>
    </row>
    <row r="291" spans="1:3">
      <c r="A291" s="1185">
        <v>288</v>
      </c>
      <c r="B291" s="307"/>
      <c r="C291" s="307"/>
    </row>
    <row r="292" spans="1:3">
      <c r="A292" s="1185">
        <v>289</v>
      </c>
      <c r="B292" s="307"/>
      <c r="C292" s="307"/>
    </row>
    <row r="293" spans="1:3">
      <c r="A293" s="1185">
        <v>290</v>
      </c>
      <c r="B293" s="307"/>
      <c r="C293" s="307"/>
    </row>
    <row r="294" spans="1:3">
      <c r="A294" s="1185">
        <v>291</v>
      </c>
      <c r="B294" s="307"/>
      <c r="C294" s="307"/>
    </row>
    <row r="295" spans="1:3">
      <c r="A295" s="1185">
        <v>292</v>
      </c>
      <c r="B295" s="307"/>
      <c r="C295" s="307"/>
    </row>
    <row r="296" spans="1:3">
      <c r="A296" s="1185">
        <v>293</v>
      </c>
      <c r="B296" s="307"/>
      <c r="C296" s="307"/>
    </row>
    <row r="297" spans="1:3">
      <c r="A297" s="1185">
        <v>294</v>
      </c>
      <c r="B297" s="307"/>
      <c r="C297" s="307"/>
    </row>
    <row r="298" spans="1:3">
      <c r="A298" s="1185">
        <v>295</v>
      </c>
      <c r="B298" s="307"/>
      <c r="C298" s="307"/>
    </row>
    <row r="299" spans="1:3">
      <c r="A299" s="1185">
        <v>296</v>
      </c>
      <c r="B299" s="307"/>
      <c r="C299" s="307"/>
    </row>
    <row r="300" spans="1:3">
      <c r="A300" s="1185">
        <v>297</v>
      </c>
      <c r="B300" s="307"/>
      <c r="C300" s="307"/>
    </row>
    <row r="301" spans="1:3">
      <c r="A301" s="1185">
        <v>298</v>
      </c>
      <c r="B301" s="307"/>
      <c r="C301" s="307"/>
    </row>
    <row r="302" spans="1:3">
      <c r="A302" s="1185">
        <v>299</v>
      </c>
      <c r="B302" s="307"/>
      <c r="C302" s="307"/>
    </row>
    <row r="303" spans="1:3">
      <c r="A303" s="1185">
        <v>300</v>
      </c>
      <c r="B303" s="307"/>
      <c r="C303" s="307"/>
    </row>
    <row r="304" spans="1:3">
      <c r="A304" s="1185">
        <v>301</v>
      </c>
      <c r="B304" s="307"/>
      <c r="C304" s="307"/>
    </row>
    <row r="305" spans="1:3">
      <c r="A305" s="1185">
        <v>302</v>
      </c>
      <c r="B305" s="307"/>
      <c r="C305" s="307"/>
    </row>
    <row r="306" spans="1:3">
      <c r="A306" s="1185">
        <v>303</v>
      </c>
      <c r="B306" s="307"/>
      <c r="C306" s="307"/>
    </row>
    <row r="307" spans="1:3">
      <c r="A307" s="1185">
        <v>304</v>
      </c>
      <c r="B307" s="307"/>
      <c r="C307" s="307"/>
    </row>
    <row r="308" spans="1:3">
      <c r="A308" s="1185">
        <v>305</v>
      </c>
      <c r="B308" s="307"/>
      <c r="C308" s="307"/>
    </row>
    <row r="309" spans="1:3">
      <c r="A309" s="1185">
        <v>306</v>
      </c>
      <c r="B309" s="307"/>
      <c r="C309" s="307"/>
    </row>
    <row r="310" spans="1:3">
      <c r="A310" s="1185">
        <v>307</v>
      </c>
      <c r="B310" s="307"/>
      <c r="C310" s="307"/>
    </row>
    <row r="311" spans="1:3">
      <c r="A311" s="1185">
        <v>308</v>
      </c>
      <c r="B311" s="307"/>
      <c r="C311" s="307"/>
    </row>
    <row r="312" spans="1:3">
      <c r="A312" s="1185">
        <v>309</v>
      </c>
      <c r="B312" s="307"/>
      <c r="C312" s="307"/>
    </row>
    <row r="313" spans="1:3">
      <c r="A313" s="1185">
        <v>310</v>
      </c>
      <c r="B313" s="307"/>
      <c r="C313" s="307"/>
    </row>
    <row r="314" spans="1:3">
      <c r="A314" s="1185">
        <v>311</v>
      </c>
      <c r="B314" s="307"/>
      <c r="C314" s="307"/>
    </row>
    <row r="315" spans="1:3">
      <c r="A315" s="1185">
        <v>312</v>
      </c>
      <c r="B315" s="307"/>
      <c r="C315" s="307"/>
    </row>
    <row r="316" spans="1:3">
      <c r="A316" s="1185">
        <v>313</v>
      </c>
      <c r="B316" s="307"/>
      <c r="C316" s="307"/>
    </row>
    <row r="317" spans="1:3">
      <c r="A317" s="1185">
        <v>314</v>
      </c>
      <c r="B317" s="307"/>
      <c r="C317" s="307"/>
    </row>
    <row r="318" spans="1:3">
      <c r="A318" s="1185">
        <v>315</v>
      </c>
      <c r="B318" s="307"/>
      <c r="C318" s="307"/>
    </row>
    <row r="319" spans="1:3">
      <c r="A319" s="1185">
        <v>316</v>
      </c>
      <c r="B319" s="307"/>
      <c r="C319" s="307"/>
    </row>
    <row r="320" spans="1:3">
      <c r="A320" s="1185">
        <v>317</v>
      </c>
      <c r="B320" s="307"/>
      <c r="C320" s="307"/>
    </row>
    <row r="321" spans="1:3">
      <c r="A321" s="1185">
        <v>318</v>
      </c>
      <c r="B321" s="307"/>
      <c r="C321" s="307"/>
    </row>
    <row r="322" spans="1:3">
      <c r="A322" s="1185">
        <v>319</v>
      </c>
      <c r="B322" s="307"/>
      <c r="C322" s="307"/>
    </row>
    <row r="323" spans="1:3">
      <c r="A323" s="1185">
        <v>320</v>
      </c>
      <c r="B323" s="307"/>
      <c r="C323" s="307"/>
    </row>
    <row r="324" spans="1:3">
      <c r="A324" s="1185">
        <v>321</v>
      </c>
      <c r="B324" s="307"/>
      <c r="C324" s="307"/>
    </row>
    <row r="325" spans="1:3">
      <c r="A325" s="1185">
        <v>322</v>
      </c>
      <c r="B325" s="307"/>
      <c r="C325" s="307"/>
    </row>
    <row r="326" spans="1:3">
      <c r="A326" s="1185">
        <v>323</v>
      </c>
      <c r="B326" s="307"/>
      <c r="C326" s="307"/>
    </row>
    <row r="327" spans="1:3">
      <c r="A327" s="1185">
        <v>324</v>
      </c>
      <c r="B327" s="307"/>
      <c r="C327" s="307"/>
    </row>
    <row r="328" spans="1:3">
      <c r="A328" s="1185">
        <v>325</v>
      </c>
      <c r="B328" s="307"/>
      <c r="C328" s="307"/>
    </row>
    <row r="329" spans="1:3">
      <c r="A329" s="1185">
        <v>326</v>
      </c>
      <c r="B329" s="307"/>
      <c r="C329" s="307"/>
    </row>
    <row r="330" spans="1:3">
      <c r="A330" s="1185">
        <v>327</v>
      </c>
      <c r="B330" s="307"/>
      <c r="C330" s="307"/>
    </row>
    <row r="331" spans="1:3">
      <c r="A331" s="1185">
        <v>328</v>
      </c>
      <c r="B331" s="307"/>
      <c r="C331" s="307"/>
    </row>
    <row r="332" spans="1:3">
      <c r="A332" s="1185">
        <v>329</v>
      </c>
      <c r="B332" s="307"/>
      <c r="C332" s="307"/>
    </row>
    <row r="333" spans="1:3">
      <c r="A333" s="1185">
        <v>330</v>
      </c>
      <c r="B333" s="307"/>
      <c r="C333" s="307"/>
    </row>
    <row r="334" spans="1:3">
      <c r="A334" s="1185">
        <v>331</v>
      </c>
      <c r="B334" s="307"/>
      <c r="C334" s="307"/>
    </row>
    <row r="335" spans="1:3">
      <c r="A335" s="1185">
        <v>332</v>
      </c>
      <c r="B335" s="307"/>
      <c r="C335" s="307"/>
    </row>
    <row r="336" spans="1:3">
      <c r="A336" s="1185">
        <v>333</v>
      </c>
      <c r="B336" s="307"/>
      <c r="C336" s="307"/>
    </row>
    <row r="337" spans="1:3">
      <c r="A337" s="1185">
        <v>334</v>
      </c>
      <c r="B337" s="307"/>
      <c r="C337" s="307"/>
    </row>
    <row r="338" spans="1:3">
      <c r="A338" s="1185">
        <v>335</v>
      </c>
      <c r="B338" s="307"/>
      <c r="C338" s="307"/>
    </row>
    <row r="339" spans="1:3">
      <c r="A339" s="1185">
        <v>336</v>
      </c>
      <c r="B339" s="307"/>
      <c r="C339" s="307"/>
    </row>
    <row r="340" spans="1:3">
      <c r="A340" s="1185">
        <v>337</v>
      </c>
      <c r="B340" s="307"/>
      <c r="C340" s="307"/>
    </row>
    <row r="341" spans="1:3">
      <c r="A341" s="1185">
        <v>338</v>
      </c>
      <c r="B341" s="307"/>
      <c r="C341" s="307"/>
    </row>
    <row r="342" spans="1:3">
      <c r="A342" s="1185">
        <v>339</v>
      </c>
      <c r="B342" s="307"/>
      <c r="C342" s="307"/>
    </row>
    <row r="343" spans="1:3">
      <c r="A343" s="1185">
        <v>340</v>
      </c>
      <c r="B343" s="307"/>
      <c r="C343" s="307"/>
    </row>
    <row r="344" spans="1:3">
      <c r="A344" s="1185">
        <v>341</v>
      </c>
      <c r="B344" s="307"/>
      <c r="C344" s="307"/>
    </row>
    <row r="345" spans="1:3">
      <c r="A345" s="1185">
        <v>342</v>
      </c>
      <c r="B345" s="307"/>
      <c r="C345" s="307"/>
    </row>
    <row r="346" spans="1:3">
      <c r="A346" s="1185">
        <v>343</v>
      </c>
      <c r="B346" s="307"/>
      <c r="C346" s="307"/>
    </row>
    <row r="347" spans="1:3">
      <c r="A347" s="1185">
        <v>344</v>
      </c>
      <c r="B347" s="307"/>
      <c r="C347" s="307"/>
    </row>
    <row r="348" spans="1:3">
      <c r="A348" s="1185">
        <v>345</v>
      </c>
      <c r="B348" s="307"/>
      <c r="C348" s="307"/>
    </row>
    <row r="349" spans="1:3">
      <c r="A349" s="1185">
        <v>346</v>
      </c>
      <c r="B349" s="307"/>
      <c r="C349" s="307"/>
    </row>
    <row r="350" spans="1:3">
      <c r="A350" s="1185">
        <v>347</v>
      </c>
      <c r="B350" s="307"/>
      <c r="C350" s="307"/>
    </row>
    <row r="351" spans="1:3">
      <c r="A351" s="1185">
        <v>348</v>
      </c>
      <c r="B351" s="307"/>
      <c r="C351" s="307"/>
    </row>
    <row r="352" spans="1:3">
      <c r="A352" s="1185">
        <v>349</v>
      </c>
      <c r="B352" s="307"/>
      <c r="C352" s="307"/>
    </row>
    <row r="353" spans="1:3">
      <c r="A353" s="1185">
        <v>350</v>
      </c>
      <c r="B353" s="307"/>
      <c r="C353" s="307"/>
    </row>
    <row r="354" spans="1:3">
      <c r="A354" s="1185">
        <v>351</v>
      </c>
      <c r="B354" s="307"/>
      <c r="C354" s="307"/>
    </row>
    <row r="355" spans="1:3">
      <c r="A355" s="1185">
        <v>352</v>
      </c>
      <c r="B355" s="307"/>
      <c r="C355" s="307"/>
    </row>
    <row r="356" spans="1:3">
      <c r="A356" s="1185">
        <v>353</v>
      </c>
      <c r="B356" s="307"/>
      <c r="C356" s="307"/>
    </row>
    <row r="357" spans="1:3">
      <c r="A357" s="1185">
        <v>354</v>
      </c>
      <c r="B357" s="307"/>
      <c r="C357" s="307"/>
    </row>
    <row r="358" spans="1:3">
      <c r="A358" s="1185">
        <v>355</v>
      </c>
      <c r="B358" s="307"/>
      <c r="C358" s="307"/>
    </row>
    <row r="359" spans="1:3">
      <c r="A359" s="1185">
        <v>356</v>
      </c>
      <c r="B359" s="307"/>
      <c r="C359" s="307"/>
    </row>
    <row r="360" spans="1:3">
      <c r="A360" s="1185">
        <v>357</v>
      </c>
      <c r="B360" s="307"/>
      <c r="C360" s="307"/>
    </row>
    <row r="361" spans="1:3">
      <c r="A361" s="1185">
        <v>358</v>
      </c>
      <c r="B361" s="307"/>
      <c r="C361" s="307"/>
    </row>
    <row r="362" spans="1:3">
      <c r="A362" s="1185">
        <v>359</v>
      </c>
      <c r="B362" s="307"/>
      <c r="C362" s="307"/>
    </row>
    <row r="363" spans="1:3">
      <c r="A363" s="1185">
        <v>360</v>
      </c>
      <c r="B363" s="307"/>
      <c r="C363" s="307"/>
    </row>
    <row r="364" spans="1:3">
      <c r="A364" s="1185">
        <v>361</v>
      </c>
      <c r="B364" s="307"/>
      <c r="C364" s="307"/>
    </row>
    <row r="365" spans="1:3">
      <c r="A365" s="1185">
        <v>362</v>
      </c>
      <c r="B365" s="307"/>
      <c r="C365" s="307"/>
    </row>
    <row r="366" spans="1:3">
      <c r="A366" s="1185">
        <v>363</v>
      </c>
      <c r="B366" s="307"/>
      <c r="C366" s="307"/>
    </row>
    <row r="367" spans="1:3">
      <c r="A367" s="1185">
        <v>364</v>
      </c>
      <c r="B367" s="307"/>
      <c r="C367" s="307"/>
    </row>
    <row r="368" spans="1:3">
      <c r="A368" s="1185">
        <v>365</v>
      </c>
      <c r="B368" s="307"/>
      <c r="C368" s="307"/>
    </row>
    <row r="369" spans="1:3">
      <c r="A369" s="1185">
        <v>366</v>
      </c>
      <c r="B369" s="307"/>
      <c r="C369" s="307"/>
    </row>
    <row r="370" spans="1:3">
      <c r="A370" s="1185">
        <v>367</v>
      </c>
      <c r="B370" s="307"/>
      <c r="C370" s="307"/>
    </row>
    <row r="371" spans="1:3">
      <c r="A371" s="1185">
        <v>368</v>
      </c>
      <c r="B371" s="307"/>
      <c r="C371" s="307"/>
    </row>
    <row r="372" spans="1:3">
      <c r="A372" s="1185">
        <v>369</v>
      </c>
      <c r="B372" s="307"/>
      <c r="C372" s="307"/>
    </row>
    <row r="373" spans="1:3">
      <c r="A373" s="1185">
        <v>370</v>
      </c>
      <c r="B373" s="307"/>
      <c r="C373" s="307"/>
    </row>
    <row r="374" spans="1:3">
      <c r="A374" s="1185">
        <v>371</v>
      </c>
      <c r="B374" s="307"/>
      <c r="C374" s="307"/>
    </row>
    <row r="375" spans="1:3">
      <c r="A375" s="1185">
        <v>372</v>
      </c>
      <c r="B375" s="307"/>
      <c r="C375" s="307"/>
    </row>
    <row r="376" spans="1:3">
      <c r="A376" s="1185">
        <v>373</v>
      </c>
      <c r="B376" s="307"/>
      <c r="C376" s="307"/>
    </row>
    <row r="377" spans="1:3">
      <c r="A377" s="1185">
        <v>374</v>
      </c>
      <c r="B377" s="307"/>
      <c r="C377" s="307"/>
    </row>
    <row r="378" spans="1:3">
      <c r="A378" s="1185">
        <v>375</v>
      </c>
      <c r="B378" s="307"/>
      <c r="C378" s="307"/>
    </row>
    <row r="379" spans="1:3">
      <c r="A379" s="1185">
        <v>376</v>
      </c>
      <c r="B379" s="307"/>
      <c r="C379" s="307"/>
    </row>
    <row r="380" spans="1:3">
      <c r="A380" s="1185">
        <v>377</v>
      </c>
      <c r="B380" s="307"/>
      <c r="C380" s="307"/>
    </row>
    <row r="381" spans="1:3">
      <c r="A381" s="1185">
        <v>378</v>
      </c>
      <c r="B381" s="307"/>
      <c r="C381" s="307"/>
    </row>
    <row r="382" spans="1:3">
      <c r="A382" s="1185">
        <v>379</v>
      </c>
      <c r="B382" s="307"/>
      <c r="C382" s="307"/>
    </row>
    <row r="383" spans="1:3">
      <c r="A383" s="1185">
        <v>380</v>
      </c>
      <c r="B383" s="307"/>
      <c r="C383" s="307"/>
    </row>
    <row r="384" spans="1:3">
      <c r="A384" s="1185">
        <v>381</v>
      </c>
      <c r="B384" s="307"/>
      <c r="C384" s="307"/>
    </row>
    <row r="385" spans="1:3">
      <c r="A385" s="1185">
        <v>382</v>
      </c>
      <c r="B385" s="307"/>
      <c r="C385" s="307"/>
    </row>
    <row r="386" spans="1:3">
      <c r="A386" s="1185">
        <v>383</v>
      </c>
      <c r="B386" s="307"/>
      <c r="C386" s="307"/>
    </row>
    <row r="387" spans="1:3">
      <c r="A387" s="1185">
        <v>384</v>
      </c>
      <c r="B387" s="307"/>
      <c r="C387" s="307"/>
    </row>
    <row r="388" spans="1:3">
      <c r="A388" s="1185">
        <v>385</v>
      </c>
      <c r="B388" s="307"/>
      <c r="C388" s="307"/>
    </row>
    <row r="389" spans="1:3">
      <c r="A389" s="1185">
        <v>386</v>
      </c>
      <c r="B389" s="307"/>
      <c r="C389" s="307"/>
    </row>
    <row r="390" spans="1:3">
      <c r="A390" s="1185">
        <v>387</v>
      </c>
      <c r="B390" s="307"/>
      <c r="C390" s="307"/>
    </row>
    <row r="391" spans="1:3">
      <c r="A391" s="1185">
        <v>388</v>
      </c>
      <c r="B391" s="307"/>
      <c r="C391" s="307"/>
    </row>
    <row r="392" spans="1:3">
      <c r="A392" s="1185">
        <v>389</v>
      </c>
      <c r="B392" s="307"/>
      <c r="C392" s="307"/>
    </row>
    <row r="393" spans="1:3">
      <c r="A393" s="1185">
        <v>390</v>
      </c>
      <c r="B393" s="307"/>
      <c r="C393" s="307"/>
    </row>
    <row r="394" spans="1:3">
      <c r="A394" s="1185">
        <v>391</v>
      </c>
      <c r="B394" s="307"/>
      <c r="C394" s="307"/>
    </row>
    <row r="395" spans="1:3">
      <c r="A395" s="1185">
        <v>392</v>
      </c>
      <c r="B395" s="307"/>
      <c r="C395" s="307"/>
    </row>
    <row r="396" spans="1:3">
      <c r="A396" s="1185">
        <v>393</v>
      </c>
      <c r="B396" s="307"/>
      <c r="C396" s="307"/>
    </row>
    <row r="397" spans="1:3">
      <c r="A397" s="1185">
        <v>394</v>
      </c>
      <c r="B397" s="307"/>
      <c r="C397" s="307"/>
    </row>
    <row r="398" spans="1:3">
      <c r="A398" s="1185">
        <v>395</v>
      </c>
      <c r="B398" s="307"/>
      <c r="C398" s="307"/>
    </row>
    <row r="399" spans="1:3">
      <c r="A399" s="1185">
        <v>396</v>
      </c>
      <c r="B399" s="307"/>
      <c r="C399" s="307"/>
    </row>
    <row r="400" spans="1:3">
      <c r="A400" s="1185">
        <v>397</v>
      </c>
      <c r="B400" s="307"/>
      <c r="C400" s="307"/>
    </row>
    <row r="401" spans="1:3">
      <c r="A401" s="1185">
        <v>398</v>
      </c>
      <c r="B401" s="307"/>
      <c r="C401" s="307"/>
    </row>
    <row r="402" spans="1:3">
      <c r="A402" s="1185">
        <v>399</v>
      </c>
      <c r="B402" s="307"/>
      <c r="C402" s="307"/>
    </row>
    <row r="403" spans="1:3">
      <c r="A403" s="1185">
        <v>400</v>
      </c>
      <c r="B403" s="307"/>
      <c r="C403" s="307"/>
    </row>
    <row r="404" spans="1:3">
      <c r="A404" s="1185">
        <v>401</v>
      </c>
      <c r="B404" s="307"/>
      <c r="C404" s="307"/>
    </row>
    <row r="405" spans="1:3">
      <c r="A405" s="1185">
        <v>402</v>
      </c>
      <c r="B405" s="307"/>
      <c r="C405" s="307"/>
    </row>
    <row r="406" spans="1:3">
      <c r="A406" s="1185">
        <v>403</v>
      </c>
      <c r="B406" s="307"/>
      <c r="C406" s="307"/>
    </row>
    <row r="407" spans="1:3">
      <c r="A407" s="1185">
        <v>404</v>
      </c>
      <c r="B407" s="307"/>
      <c r="C407" s="307"/>
    </row>
    <row r="408" spans="1:3">
      <c r="A408" s="1185">
        <v>405</v>
      </c>
      <c r="B408" s="307"/>
      <c r="C408" s="307"/>
    </row>
    <row r="409" spans="1:3">
      <c r="A409" s="1185">
        <v>406</v>
      </c>
      <c r="B409" s="307"/>
      <c r="C409" s="307"/>
    </row>
    <row r="410" spans="1:3">
      <c r="A410" s="1185">
        <v>407</v>
      </c>
      <c r="B410" s="307"/>
      <c r="C410" s="307"/>
    </row>
    <row r="411" spans="1:3">
      <c r="A411" s="1185">
        <v>408</v>
      </c>
      <c r="B411" s="307"/>
      <c r="C411" s="307"/>
    </row>
    <row r="412" spans="1:3">
      <c r="A412" s="1185">
        <v>409</v>
      </c>
      <c r="B412" s="307"/>
      <c r="C412" s="307"/>
    </row>
    <row r="413" spans="1:3">
      <c r="A413" s="1185">
        <v>410</v>
      </c>
      <c r="B413" s="307"/>
      <c r="C413" s="307"/>
    </row>
    <row r="414" spans="1:3">
      <c r="A414" s="1185">
        <v>411</v>
      </c>
      <c r="B414" s="307"/>
      <c r="C414" s="307"/>
    </row>
    <row r="415" spans="1:3">
      <c r="A415" s="1185">
        <v>412</v>
      </c>
      <c r="B415" s="307"/>
      <c r="C415" s="307"/>
    </row>
    <row r="416" spans="1:3">
      <c r="A416" s="1185">
        <v>413</v>
      </c>
      <c r="B416" s="307"/>
      <c r="C416" s="307"/>
    </row>
    <row r="417" spans="1:3">
      <c r="A417" s="1185">
        <v>414</v>
      </c>
      <c r="B417" s="307"/>
      <c r="C417" s="307"/>
    </row>
    <row r="418" spans="1:3">
      <c r="A418" s="1185">
        <v>415</v>
      </c>
      <c r="B418" s="307"/>
      <c r="C418" s="307"/>
    </row>
    <row r="419" spans="1:3">
      <c r="A419" s="1185">
        <v>416</v>
      </c>
      <c r="B419" s="307"/>
      <c r="C419" s="307"/>
    </row>
    <row r="420" spans="1:3">
      <c r="A420" s="1185">
        <v>417</v>
      </c>
      <c r="B420" s="307"/>
      <c r="C420" s="307"/>
    </row>
    <row r="421" spans="1:3">
      <c r="A421" s="1185">
        <v>418</v>
      </c>
      <c r="B421" s="307"/>
      <c r="C421" s="307"/>
    </row>
    <row r="422" spans="1:3">
      <c r="A422" s="1185">
        <v>419</v>
      </c>
      <c r="B422" s="307"/>
      <c r="C422" s="307"/>
    </row>
    <row r="423" spans="1:3">
      <c r="A423" s="1185">
        <v>420</v>
      </c>
      <c r="B423" s="307"/>
      <c r="C423" s="307"/>
    </row>
  </sheetData>
  <mergeCells count="1">
    <mergeCell ref="E16:G16"/>
  </mergeCells>
  <pageMargins left="0.70866141732283472" right="0.70866141732283472" top="0.74803149606299213" bottom="0.74803149606299213" header="0.31496062992125984" footer="0.31496062992125984"/>
  <pageSetup paperSize="9" orientation="landscape"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E8622-C3A4-F245-AA6E-EE7749D618DF}">
  <dimension ref="A1:AM72"/>
  <sheetViews>
    <sheetView zoomScale="70" zoomScaleNormal="70" workbookViewId="0">
      <selection activeCell="N18" sqref="N18"/>
    </sheetView>
  </sheetViews>
  <sheetFormatPr defaultColWidth="8.7109375" defaultRowHeight="15.75"/>
  <cols>
    <col min="1" max="1" width="13.42578125" style="397" customWidth="1"/>
    <col min="2" max="10" width="8.85546875" style="397" bestFit="1" customWidth="1"/>
    <col min="11" max="13" width="10.140625" style="397" bestFit="1" customWidth="1"/>
    <col min="14" max="20" width="11.42578125" style="397" customWidth="1"/>
    <col min="21" max="22" width="17.42578125" style="397" customWidth="1"/>
    <col min="23" max="23" width="10" style="36" bestFit="1" customWidth="1"/>
    <col min="24" max="24" width="8" style="36" bestFit="1" customWidth="1"/>
    <col min="25" max="27" width="8" style="36" customWidth="1"/>
    <col min="28" max="28" width="10.42578125" style="36" customWidth="1"/>
    <col min="29" max="31" width="8" style="36" customWidth="1"/>
    <col min="32" max="32" width="7.42578125" style="36" bestFit="1" customWidth="1"/>
    <col min="33" max="33" width="12.42578125" style="36" customWidth="1"/>
    <col min="34" max="35" width="9.28515625" style="36" customWidth="1"/>
    <col min="36" max="16384" width="8.7109375" style="397"/>
  </cols>
  <sheetData>
    <row r="1" spans="1:39" ht="21">
      <c r="A1" s="1061" t="s">
        <v>963</v>
      </c>
      <c r="B1" s="707"/>
      <c r="C1" s="707"/>
      <c r="D1" s="707"/>
      <c r="E1" s="707"/>
      <c r="F1" s="707"/>
      <c r="G1" s="707"/>
      <c r="H1" s="707"/>
      <c r="I1" s="707"/>
      <c r="J1" s="707"/>
      <c r="K1" s="707"/>
      <c r="L1" s="707"/>
      <c r="M1" s="707"/>
      <c r="N1" s="707"/>
      <c r="O1" s="707"/>
      <c r="P1" s="707"/>
      <c r="Q1" s="707"/>
      <c r="R1" s="707"/>
      <c r="S1" s="707"/>
      <c r="T1" s="707"/>
      <c r="U1" s="707"/>
      <c r="V1" s="707"/>
      <c r="AJ1" s="707"/>
      <c r="AK1" s="707"/>
      <c r="AL1" s="707"/>
      <c r="AM1" s="707"/>
    </row>
    <row r="2" spans="1:39" s="103" customFormat="1" ht="31.5">
      <c r="A2" s="591" t="s">
        <v>964</v>
      </c>
      <c r="B2" s="592" t="s">
        <v>727</v>
      </c>
      <c r="C2" s="592" t="s">
        <v>728</v>
      </c>
      <c r="D2" s="592" t="s">
        <v>729</v>
      </c>
      <c r="E2" s="592" t="s">
        <v>730</v>
      </c>
      <c r="F2" s="592" t="s">
        <v>965</v>
      </c>
      <c r="G2" s="592" t="s">
        <v>966</v>
      </c>
      <c r="H2" s="592" t="s">
        <v>967</v>
      </c>
      <c r="I2" s="592" t="s">
        <v>968</v>
      </c>
      <c r="J2" s="592" t="s">
        <v>969</v>
      </c>
      <c r="K2" s="592" t="s">
        <v>970</v>
      </c>
      <c r="L2" s="592" t="s">
        <v>971</v>
      </c>
      <c r="M2" s="592" t="s">
        <v>972</v>
      </c>
      <c r="N2" s="431"/>
      <c r="O2" s="431" t="s">
        <v>973</v>
      </c>
      <c r="P2" s="431" t="s">
        <v>974</v>
      </c>
      <c r="Q2" s="431" t="s">
        <v>653</v>
      </c>
      <c r="R2" s="432" t="s">
        <v>975</v>
      </c>
      <c r="S2" s="432" t="s">
        <v>976</v>
      </c>
      <c r="T2" s="431" t="s">
        <v>977</v>
      </c>
      <c r="U2" s="431" t="s">
        <v>978</v>
      </c>
      <c r="V2" s="431"/>
      <c r="W2" s="433" t="s">
        <v>979</v>
      </c>
      <c r="X2" s="434" t="s">
        <v>980</v>
      </c>
      <c r="Y2" s="435" t="s">
        <v>981</v>
      </c>
      <c r="Z2" s="434" t="s">
        <v>982</v>
      </c>
      <c r="AA2" s="436"/>
      <c r="AB2" s="433" t="s">
        <v>983</v>
      </c>
      <c r="AC2" s="434" t="s">
        <v>980</v>
      </c>
      <c r="AD2" s="435" t="s">
        <v>981</v>
      </c>
      <c r="AE2" s="434" t="s">
        <v>982</v>
      </c>
      <c r="AF2" s="436"/>
      <c r="AG2" s="437" t="s">
        <v>984</v>
      </c>
      <c r="AH2" s="434" t="s">
        <v>980</v>
      </c>
      <c r="AI2" s="435" t="s">
        <v>981</v>
      </c>
      <c r="AJ2" s="1192"/>
      <c r="AK2" s="1192"/>
      <c r="AL2" s="1192"/>
      <c r="AM2" s="1192"/>
    </row>
    <row r="3" spans="1:39">
      <c r="A3" s="1185">
        <v>1</v>
      </c>
      <c r="B3" s="31">
        <v>19.3</v>
      </c>
      <c r="C3" s="307">
        <v>20.59</v>
      </c>
      <c r="D3" s="31"/>
      <c r="E3" s="307"/>
      <c r="F3" s="31"/>
      <c r="G3" s="307"/>
      <c r="H3" s="31"/>
      <c r="I3" s="307"/>
      <c r="J3" s="31"/>
      <c r="K3" s="307"/>
      <c r="L3" s="31"/>
      <c r="M3" s="307"/>
      <c r="N3" s="707"/>
      <c r="O3" s="280" t="str">
        <f>B2</f>
        <v>Group 1</v>
      </c>
      <c r="P3" s="438">
        <f>COUNT(B:B)</f>
        <v>33</v>
      </c>
      <c r="Q3" s="439">
        <f>IF(P3&gt;0, MEDIAN(B:B), "")</f>
        <v>21.4</v>
      </c>
      <c r="R3" s="438">
        <f>COUNT(B:B)-S3</f>
        <v>18</v>
      </c>
      <c r="S3" s="438">
        <f>COUNTIF(B:B, "&gt;"&amp;$Q$15)</f>
        <v>15</v>
      </c>
      <c r="T3" s="439">
        <f>IF(P3&gt;0, _xlfn.QUARTILE.INC(B:B,3)-_xlfn.QUARTILE.INC(B:B,1), "")</f>
        <v>3.6700000000000017</v>
      </c>
      <c r="U3" s="707"/>
      <c r="V3" s="707"/>
      <c r="W3" s="36" t="str">
        <f t="shared" ref="W3:W14" si="0">O3</f>
        <v>Group 1</v>
      </c>
      <c r="X3" s="36">
        <f>R3</f>
        <v>18</v>
      </c>
      <c r="Y3" s="36">
        <f>S3</f>
        <v>15</v>
      </c>
      <c r="Z3" s="36">
        <f>SUM(X3:Y3)</f>
        <v>33</v>
      </c>
      <c r="AB3" s="36" t="str">
        <f t="shared" ref="AB3:AB15" si="1">W3</f>
        <v>Group 1</v>
      </c>
      <c r="AC3" s="440">
        <f t="shared" ref="AC3:AC14" si="2">($Z3*$X$15)/$Z$15</f>
        <v>16.761904761904763</v>
      </c>
      <c r="AD3" s="440">
        <f t="shared" ref="AD3:AD14" si="3">($Z3*$Y$15)/$Z$15</f>
        <v>16.238095238095237</v>
      </c>
      <c r="AE3" s="441">
        <f>SUM(AC3:AD3)</f>
        <v>33</v>
      </c>
      <c r="AG3" s="36" t="str">
        <f>AB3</f>
        <v>Group 1</v>
      </c>
      <c r="AH3" s="442">
        <f>IF(Z3&gt;0, ((R3-AC3)^2)/AC3, "")</f>
        <v>9.1450216450216323E-2</v>
      </c>
      <c r="AI3" s="442">
        <f>IF(Z3&gt;0, ((S3-AD3)^2)/AD3, "")</f>
        <v>9.4400223432481375E-2</v>
      </c>
      <c r="AJ3" s="707"/>
      <c r="AK3" s="707"/>
      <c r="AL3" s="707"/>
      <c r="AM3" s="707"/>
    </row>
    <row r="4" spans="1:39">
      <c r="A4" s="1185">
        <v>2</v>
      </c>
      <c r="B4" s="31">
        <v>20.39</v>
      </c>
      <c r="C4" s="307">
        <v>27.15</v>
      </c>
      <c r="D4" s="31"/>
      <c r="E4" s="307"/>
      <c r="F4" s="31"/>
      <c r="G4" s="307"/>
      <c r="H4" s="31"/>
      <c r="I4" s="307"/>
      <c r="J4" s="31"/>
      <c r="K4" s="307"/>
      <c r="L4" s="31"/>
      <c r="M4" s="307"/>
      <c r="N4" s="707"/>
      <c r="O4" s="280" t="str">
        <f>C2</f>
        <v>Group 2</v>
      </c>
      <c r="P4" s="438">
        <f>COUNT(C:C)</f>
        <v>30</v>
      </c>
      <c r="Q4" s="439">
        <f>IF(P4&gt;0, MEDIAN(C:C), "")</f>
        <v>21.759999999999998</v>
      </c>
      <c r="R4" s="438">
        <f>COUNT(C:C)-S4</f>
        <v>14</v>
      </c>
      <c r="S4" s="438">
        <f>COUNTIF(C:C, "&gt;"&amp;$Q$15)</f>
        <v>16</v>
      </c>
      <c r="T4" s="439">
        <f>IF(P4&gt;0, _xlfn.QUARTILE.INC(C:C,3)-_xlfn.QUARTILE.INC(C:C,1), "")</f>
        <v>2.7699999999999996</v>
      </c>
      <c r="U4" s="707"/>
      <c r="V4" s="707"/>
      <c r="W4" s="36" t="str">
        <f t="shared" si="0"/>
        <v>Group 2</v>
      </c>
      <c r="X4" s="36">
        <f t="shared" ref="X4:Y14" si="4">R4</f>
        <v>14</v>
      </c>
      <c r="Y4" s="36">
        <f t="shared" si="4"/>
        <v>16</v>
      </c>
      <c r="Z4" s="36">
        <f t="shared" ref="Z4:Z14" si="5">SUM(X4:Y4)</f>
        <v>30</v>
      </c>
      <c r="AB4" s="36" t="str">
        <f t="shared" si="1"/>
        <v>Group 2</v>
      </c>
      <c r="AC4" s="440">
        <f t="shared" si="2"/>
        <v>15.238095238095237</v>
      </c>
      <c r="AD4" s="440">
        <f t="shared" si="3"/>
        <v>14.761904761904763</v>
      </c>
      <c r="AE4" s="441">
        <f t="shared" ref="AE4:AE14" si="6">SUM(AC4:AD4)</f>
        <v>30</v>
      </c>
      <c r="AG4" s="36" t="str">
        <f t="shared" ref="AG4:AG14" si="7">AB4</f>
        <v>Group 2</v>
      </c>
      <c r="AH4" s="442">
        <f t="shared" ref="AH4:AH14" si="8">IF(Z4&gt;0, ((R4-AC4)^2)/AC4, "")</f>
        <v>0.10059523809523796</v>
      </c>
      <c r="AI4" s="442">
        <f t="shared" ref="AI4:AI14" si="9">IF(Z4&gt;0, ((S4-AD4)^2)/AD4, "")</f>
        <v>0.10384024577572949</v>
      </c>
      <c r="AJ4" s="707"/>
      <c r="AK4" s="707"/>
      <c r="AL4" s="707"/>
      <c r="AM4" s="707"/>
    </row>
    <row r="5" spans="1:39">
      <c r="A5" s="1185">
        <v>3</v>
      </c>
      <c r="B5" s="31">
        <v>26.34</v>
      </c>
      <c r="C5" s="307">
        <v>21.7</v>
      </c>
      <c r="D5" s="31"/>
      <c r="E5" s="307"/>
      <c r="F5" s="31"/>
      <c r="G5" s="307"/>
      <c r="H5" s="31"/>
      <c r="I5" s="307"/>
      <c r="J5" s="31"/>
      <c r="K5" s="307"/>
      <c r="L5" s="31"/>
      <c r="M5" s="307"/>
      <c r="N5" s="707"/>
      <c r="O5" s="280" t="str">
        <f>D2</f>
        <v>Group 3</v>
      </c>
      <c r="P5" s="438">
        <f>COUNT(D:D)</f>
        <v>0</v>
      </c>
      <c r="Q5" s="439" t="str">
        <f>IF(P5&gt;0, MEDIAN(D:D), "")</f>
        <v/>
      </c>
      <c r="R5" s="438">
        <f>COUNT(D:D)-S5</f>
        <v>0</v>
      </c>
      <c r="S5" s="438">
        <f>COUNTIF(D:D, "&gt;"&amp;$Q$15)</f>
        <v>0</v>
      </c>
      <c r="T5" s="439" t="str">
        <f>IF(P5&gt;0, _xlfn.QUARTILE.INC(D:D,3)-_xlfn.QUARTILE.INC(D:D,1), "")</f>
        <v/>
      </c>
      <c r="U5" s="707"/>
      <c r="V5" s="707"/>
      <c r="W5" s="36" t="str">
        <f t="shared" si="0"/>
        <v>Group 3</v>
      </c>
      <c r="X5" s="36">
        <f t="shared" si="4"/>
        <v>0</v>
      </c>
      <c r="Y5" s="36">
        <f t="shared" si="4"/>
        <v>0</v>
      </c>
      <c r="Z5" s="36">
        <f t="shared" si="5"/>
        <v>0</v>
      </c>
      <c r="AB5" s="36" t="str">
        <f t="shared" si="1"/>
        <v>Group 3</v>
      </c>
      <c r="AC5" s="440">
        <f t="shared" si="2"/>
        <v>0</v>
      </c>
      <c r="AD5" s="440">
        <f t="shared" si="3"/>
        <v>0</v>
      </c>
      <c r="AE5" s="441">
        <f t="shared" si="6"/>
        <v>0</v>
      </c>
      <c r="AG5" s="36" t="str">
        <f t="shared" si="7"/>
        <v>Group 3</v>
      </c>
      <c r="AH5" s="442" t="str">
        <f t="shared" si="8"/>
        <v/>
      </c>
      <c r="AI5" s="442" t="str">
        <f t="shared" si="9"/>
        <v/>
      </c>
      <c r="AJ5" s="707"/>
      <c r="AK5" s="707"/>
      <c r="AL5" s="707"/>
      <c r="AM5" s="707"/>
    </row>
    <row r="6" spans="1:39">
      <c r="A6" s="1185">
        <v>4</v>
      </c>
      <c r="B6" s="31">
        <v>23.23</v>
      </c>
      <c r="C6" s="307">
        <v>19</v>
      </c>
      <c r="D6" s="31"/>
      <c r="E6" s="307"/>
      <c r="F6" s="31"/>
      <c r="G6" s="307"/>
      <c r="H6" s="31"/>
      <c r="I6" s="307"/>
      <c r="J6" s="31"/>
      <c r="K6" s="307"/>
      <c r="L6" s="31"/>
      <c r="M6" s="307"/>
      <c r="N6" s="707"/>
      <c r="O6" s="280" t="str">
        <f>E2</f>
        <v>Group 4</v>
      </c>
      <c r="P6" s="438">
        <f>COUNT(E:E)</f>
        <v>0</v>
      </c>
      <c r="Q6" s="439" t="str">
        <f>IF(P6&gt;0, MEDIAN(E:E), "")</f>
        <v/>
      </c>
      <c r="R6" s="438">
        <f>COUNT(E:E)-S6</f>
        <v>0</v>
      </c>
      <c r="S6" s="438">
        <f>COUNTIF(E:E, "&gt;"&amp;$Q$15)</f>
        <v>0</v>
      </c>
      <c r="T6" s="439" t="str">
        <f>IF(P6&gt;0, _xlfn.QUARTILE.INC(E:E,3)-_xlfn.QUARTILE.INC(E:E,1), "")</f>
        <v/>
      </c>
      <c r="U6" s="707"/>
      <c r="V6" s="707"/>
      <c r="W6" s="36" t="str">
        <f t="shared" si="0"/>
        <v>Group 4</v>
      </c>
      <c r="X6" s="36">
        <f t="shared" si="4"/>
        <v>0</v>
      </c>
      <c r="Y6" s="36">
        <f t="shared" si="4"/>
        <v>0</v>
      </c>
      <c r="Z6" s="36">
        <f t="shared" si="5"/>
        <v>0</v>
      </c>
      <c r="AB6" s="36" t="str">
        <f t="shared" si="1"/>
        <v>Group 4</v>
      </c>
      <c r="AC6" s="440">
        <f t="shared" si="2"/>
        <v>0</v>
      </c>
      <c r="AD6" s="440">
        <f t="shared" si="3"/>
        <v>0</v>
      </c>
      <c r="AE6" s="441">
        <f t="shared" si="6"/>
        <v>0</v>
      </c>
      <c r="AG6" s="36" t="str">
        <f t="shared" si="7"/>
        <v>Group 4</v>
      </c>
      <c r="AH6" s="442" t="str">
        <f t="shared" si="8"/>
        <v/>
      </c>
      <c r="AI6" s="442" t="str">
        <f t="shared" si="9"/>
        <v/>
      </c>
      <c r="AJ6" s="707"/>
      <c r="AK6" s="707"/>
      <c r="AL6" s="707"/>
      <c r="AM6" s="707"/>
    </row>
    <row r="7" spans="1:39">
      <c r="A7" s="1185">
        <v>5</v>
      </c>
      <c r="B7" s="31">
        <v>25.71</v>
      </c>
      <c r="C7" s="307">
        <v>21.75</v>
      </c>
      <c r="D7" s="31"/>
      <c r="E7" s="307"/>
      <c r="F7" s="31"/>
      <c r="G7" s="307"/>
      <c r="H7" s="31"/>
      <c r="I7" s="307"/>
      <c r="J7" s="31"/>
      <c r="K7" s="307"/>
      <c r="L7" s="31"/>
      <c r="M7" s="307"/>
      <c r="N7" s="707"/>
      <c r="O7" s="280" t="str">
        <f>F2</f>
        <v>Group 5</v>
      </c>
      <c r="P7" s="438">
        <f>COUNT(F:F)</f>
        <v>0</v>
      </c>
      <c r="Q7" s="439" t="str">
        <f>IF(P7&gt;0, MEDIAN(F:F), "")</f>
        <v/>
      </c>
      <c r="R7" s="438">
        <f>COUNT(F:F)-S7</f>
        <v>0</v>
      </c>
      <c r="S7" s="438">
        <f>COUNTIF(F:F, "&gt;"&amp;$Q$15)</f>
        <v>0</v>
      </c>
      <c r="T7" s="439" t="str">
        <f>IF(P7&gt;0, _xlfn.QUARTILE.INC(F:F,3)-_xlfn.QUARTILE.INC(F:F,1), "")</f>
        <v/>
      </c>
      <c r="U7" s="707"/>
      <c r="V7" s="707"/>
      <c r="W7" s="36" t="str">
        <f t="shared" si="0"/>
        <v>Group 5</v>
      </c>
      <c r="X7" s="36">
        <f t="shared" si="4"/>
        <v>0</v>
      </c>
      <c r="Y7" s="36">
        <f t="shared" si="4"/>
        <v>0</v>
      </c>
      <c r="Z7" s="36">
        <f t="shared" si="5"/>
        <v>0</v>
      </c>
      <c r="AB7" s="36" t="str">
        <f t="shared" si="1"/>
        <v>Group 5</v>
      </c>
      <c r="AC7" s="440">
        <f t="shared" si="2"/>
        <v>0</v>
      </c>
      <c r="AD7" s="440">
        <f t="shared" si="3"/>
        <v>0</v>
      </c>
      <c r="AE7" s="441">
        <f t="shared" si="6"/>
        <v>0</v>
      </c>
      <c r="AG7" s="36" t="str">
        <f t="shared" si="7"/>
        <v>Group 5</v>
      </c>
      <c r="AH7" s="442" t="str">
        <f t="shared" si="8"/>
        <v/>
      </c>
      <c r="AI7" s="442" t="str">
        <f t="shared" si="9"/>
        <v/>
      </c>
      <c r="AJ7" s="707"/>
      <c r="AK7" s="707"/>
      <c r="AL7" s="707"/>
      <c r="AM7" s="707"/>
    </row>
    <row r="8" spans="1:39">
      <c r="A8" s="1185">
        <v>6</v>
      </c>
      <c r="B8" s="31">
        <v>18.260000000000002</v>
      </c>
      <c r="C8" s="307">
        <v>22.48</v>
      </c>
      <c r="D8" s="31"/>
      <c r="E8" s="307"/>
      <c r="F8" s="31"/>
      <c r="G8" s="307"/>
      <c r="H8" s="31"/>
      <c r="I8" s="307"/>
      <c r="J8" s="31"/>
      <c r="K8" s="307"/>
      <c r="L8" s="31"/>
      <c r="M8" s="307"/>
      <c r="N8" s="707"/>
      <c r="O8" s="280" t="str">
        <f>G2</f>
        <v>Group 6</v>
      </c>
      <c r="P8" s="438">
        <f>COUNT(G:G)</f>
        <v>0</v>
      </c>
      <c r="Q8" s="439" t="str">
        <f>IF(P8&gt;0, MEDIAN(G:G), "")</f>
        <v/>
      </c>
      <c r="R8" s="438">
        <f>COUNT(G:G)-S8</f>
        <v>0</v>
      </c>
      <c r="S8" s="438">
        <f>COUNTIF(G:G, "&gt;"&amp;$Q$15)</f>
        <v>0</v>
      </c>
      <c r="T8" s="439" t="str">
        <f>IF(P8&gt;0, _xlfn.QUARTILE.INC(G:G,3)-_xlfn.QUARTILE.INC(G:G,1), "")</f>
        <v/>
      </c>
      <c r="U8" s="707"/>
      <c r="V8" s="707"/>
      <c r="W8" s="36" t="str">
        <f t="shared" si="0"/>
        <v>Group 6</v>
      </c>
      <c r="X8" s="36">
        <f t="shared" si="4"/>
        <v>0</v>
      </c>
      <c r="Y8" s="36">
        <f t="shared" si="4"/>
        <v>0</v>
      </c>
      <c r="Z8" s="36">
        <f t="shared" si="5"/>
        <v>0</v>
      </c>
      <c r="AB8" s="36" t="str">
        <f t="shared" si="1"/>
        <v>Group 6</v>
      </c>
      <c r="AC8" s="440">
        <f t="shared" si="2"/>
        <v>0</v>
      </c>
      <c r="AD8" s="440">
        <f t="shared" si="3"/>
        <v>0</v>
      </c>
      <c r="AE8" s="441">
        <f t="shared" si="6"/>
        <v>0</v>
      </c>
      <c r="AG8" s="36" t="str">
        <f t="shared" si="7"/>
        <v>Group 6</v>
      </c>
      <c r="AH8" s="442" t="str">
        <f t="shared" si="8"/>
        <v/>
      </c>
      <c r="AI8" s="442" t="str">
        <f t="shared" si="9"/>
        <v/>
      </c>
      <c r="AJ8" s="707"/>
      <c r="AK8" s="707"/>
      <c r="AL8" s="707"/>
      <c r="AM8" s="707"/>
    </row>
    <row r="9" spans="1:39">
      <c r="A9" s="1185">
        <v>7</v>
      </c>
      <c r="B9" s="31">
        <v>21.18</v>
      </c>
      <c r="C9" s="307">
        <v>16.57</v>
      </c>
      <c r="D9" s="31"/>
      <c r="E9" s="307"/>
      <c r="F9" s="31"/>
      <c r="G9" s="307"/>
      <c r="H9" s="31"/>
      <c r="I9" s="307"/>
      <c r="J9" s="31"/>
      <c r="K9" s="307"/>
      <c r="L9" s="31"/>
      <c r="M9" s="307"/>
      <c r="N9" s="707"/>
      <c r="O9" s="280" t="str">
        <f>H2</f>
        <v>Group 7</v>
      </c>
      <c r="P9" s="438">
        <f>COUNT(H:H)</f>
        <v>0</v>
      </c>
      <c r="Q9" s="439" t="str">
        <f>IF(P9&gt;0, MEDIAN(H:H), "")</f>
        <v/>
      </c>
      <c r="R9" s="438">
        <f>COUNT(H:H)-S9</f>
        <v>0</v>
      </c>
      <c r="S9" s="438">
        <f>COUNTIF(H:H, "&gt;"&amp;$Q$15)</f>
        <v>0</v>
      </c>
      <c r="T9" s="439" t="str">
        <f>IF(P9&gt;0, _xlfn.QUARTILE.INC(H:H,3)-_xlfn.QUARTILE.INC(H:H,1), "")</f>
        <v/>
      </c>
      <c r="U9" s="707"/>
      <c r="V9" s="707"/>
      <c r="W9" s="36" t="str">
        <f t="shared" si="0"/>
        <v>Group 7</v>
      </c>
      <c r="X9" s="36">
        <f t="shared" si="4"/>
        <v>0</v>
      </c>
      <c r="Y9" s="36">
        <f t="shared" si="4"/>
        <v>0</v>
      </c>
      <c r="Z9" s="36">
        <f t="shared" si="5"/>
        <v>0</v>
      </c>
      <c r="AB9" s="36" t="str">
        <f t="shared" si="1"/>
        <v>Group 7</v>
      </c>
      <c r="AC9" s="440">
        <f t="shared" si="2"/>
        <v>0</v>
      </c>
      <c r="AD9" s="440">
        <f t="shared" si="3"/>
        <v>0</v>
      </c>
      <c r="AE9" s="441">
        <f t="shared" si="6"/>
        <v>0</v>
      </c>
      <c r="AG9" s="36" t="str">
        <f t="shared" si="7"/>
        <v>Group 7</v>
      </c>
      <c r="AH9" s="442" t="str">
        <f t="shared" si="8"/>
        <v/>
      </c>
      <c r="AI9" s="442" t="str">
        <f t="shared" si="9"/>
        <v/>
      </c>
      <c r="AJ9" s="707"/>
      <c r="AK9" s="707"/>
      <c r="AL9" s="707"/>
      <c r="AM9" s="707"/>
    </row>
    <row r="10" spans="1:39">
      <c r="A10" s="1185">
        <v>8</v>
      </c>
      <c r="B10" s="31">
        <v>21.4</v>
      </c>
      <c r="C10" s="307">
        <v>22.33</v>
      </c>
      <c r="D10" s="31"/>
      <c r="E10" s="307"/>
      <c r="F10" s="31"/>
      <c r="G10" s="307"/>
      <c r="H10" s="31"/>
      <c r="I10" s="307"/>
      <c r="J10" s="31"/>
      <c r="K10" s="307"/>
      <c r="L10" s="31"/>
      <c r="M10" s="307"/>
      <c r="N10" s="707"/>
      <c r="O10" s="280" t="str">
        <f>I2</f>
        <v>Group 8</v>
      </c>
      <c r="P10" s="438">
        <f>COUNT(I:I)</f>
        <v>0</v>
      </c>
      <c r="Q10" s="439" t="str">
        <f>IF(P10&gt;0, MEDIAN(I:I), "")</f>
        <v/>
      </c>
      <c r="R10" s="438">
        <f>COUNT(I:I)-S10</f>
        <v>0</v>
      </c>
      <c r="S10" s="438">
        <f>COUNTIF(I:I, "&gt;"&amp;$Q$15)</f>
        <v>0</v>
      </c>
      <c r="T10" s="439" t="str">
        <f>IF(P10&gt;0, _xlfn.QUARTILE.INC(I:I,3)-_xlfn.QUARTILE.INC(I:I,1), "")</f>
        <v/>
      </c>
      <c r="U10" s="707"/>
      <c r="V10" s="707"/>
      <c r="W10" s="36" t="str">
        <f t="shared" si="0"/>
        <v>Group 8</v>
      </c>
      <c r="X10" s="36">
        <f t="shared" si="4"/>
        <v>0</v>
      </c>
      <c r="Y10" s="36">
        <f t="shared" si="4"/>
        <v>0</v>
      </c>
      <c r="Z10" s="36">
        <f t="shared" si="5"/>
        <v>0</v>
      </c>
      <c r="AB10" s="36" t="str">
        <f t="shared" si="1"/>
        <v>Group 8</v>
      </c>
      <c r="AC10" s="440">
        <f t="shared" si="2"/>
        <v>0</v>
      </c>
      <c r="AD10" s="440">
        <f t="shared" si="3"/>
        <v>0</v>
      </c>
      <c r="AE10" s="441">
        <f t="shared" si="6"/>
        <v>0</v>
      </c>
      <c r="AG10" s="36" t="str">
        <f t="shared" si="7"/>
        <v>Group 8</v>
      </c>
      <c r="AH10" s="442" t="str">
        <f t="shared" si="8"/>
        <v/>
      </c>
      <c r="AI10" s="442" t="str">
        <f t="shared" si="9"/>
        <v/>
      </c>
      <c r="AJ10" s="707"/>
      <c r="AK10" s="707"/>
      <c r="AL10" s="707"/>
      <c r="AM10" s="707"/>
    </row>
    <row r="11" spans="1:39">
      <c r="A11" s="1185">
        <v>9</v>
      </c>
      <c r="B11" s="31">
        <v>20.39</v>
      </c>
      <c r="C11" s="307">
        <v>18.5</v>
      </c>
      <c r="D11" s="31"/>
      <c r="E11" s="1001"/>
      <c r="F11" s="31"/>
      <c r="G11" s="307"/>
      <c r="H11" s="31"/>
      <c r="I11" s="307"/>
      <c r="J11" s="31"/>
      <c r="K11" s="307"/>
      <c r="L11" s="31"/>
      <c r="M11" s="307"/>
      <c r="N11" s="707"/>
      <c r="O11" s="280" t="str">
        <f>J2</f>
        <v>Group 9</v>
      </c>
      <c r="P11" s="438">
        <f>COUNT(J:J)</f>
        <v>0</v>
      </c>
      <c r="Q11" s="439" t="str">
        <f>IF(P11&gt;0, MEDIAN(J:J), "")</f>
        <v/>
      </c>
      <c r="R11" s="438">
        <f>COUNT(J:J)-S11</f>
        <v>0</v>
      </c>
      <c r="S11" s="438">
        <f>COUNTIF(J:J, "&gt;"&amp;$Q$15)</f>
        <v>0</v>
      </c>
      <c r="T11" s="439" t="str">
        <f>IF(P11&gt;0, _xlfn.QUARTILE.INC(J:J,3)-_xlfn.QUARTILE.INC(J:J,1), "")</f>
        <v/>
      </c>
      <c r="U11" s="707"/>
      <c r="V11" s="707"/>
      <c r="W11" s="36" t="str">
        <f t="shared" si="0"/>
        <v>Group 9</v>
      </c>
      <c r="X11" s="36">
        <f t="shared" si="4"/>
        <v>0</v>
      </c>
      <c r="Y11" s="36">
        <f t="shared" si="4"/>
        <v>0</v>
      </c>
      <c r="Z11" s="36">
        <f t="shared" si="5"/>
        <v>0</v>
      </c>
      <c r="AB11" s="36" t="str">
        <f t="shared" si="1"/>
        <v>Group 9</v>
      </c>
      <c r="AC11" s="440">
        <f t="shared" si="2"/>
        <v>0</v>
      </c>
      <c r="AD11" s="440">
        <f t="shared" si="3"/>
        <v>0</v>
      </c>
      <c r="AE11" s="441">
        <f t="shared" si="6"/>
        <v>0</v>
      </c>
      <c r="AG11" s="36" t="str">
        <f t="shared" si="7"/>
        <v>Group 9</v>
      </c>
      <c r="AH11" s="442" t="str">
        <f t="shared" si="8"/>
        <v/>
      </c>
      <c r="AI11" s="442" t="str">
        <f t="shared" si="9"/>
        <v/>
      </c>
      <c r="AJ11" s="707"/>
      <c r="AK11" s="707"/>
      <c r="AL11" s="707"/>
      <c r="AM11" s="707"/>
    </row>
    <row r="12" spans="1:39">
      <c r="A12" s="1185">
        <v>10</v>
      </c>
      <c r="B12" s="31">
        <v>16.940000000000001</v>
      </c>
      <c r="C12" s="307">
        <v>25.7</v>
      </c>
      <c r="D12" s="31"/>
      <c r="E12" s="307"/>
      <c r="F12" s="31"/>
      <c r="G12" s="307"/>
      <c r="H12" s="31"/>
      <c r="I12" s="307"/>
      <c r="J12" s="31"/>
      <c r="K12" s="307"/>
      <c r="L12" s="31"/>
      <c r="M12" s="307"/>
      <c r="N12" s="707"/>
      <c r="O12" s="280" t="str">
        <f>K2</f>
        <v>Group 10</v>
      </c>
      <c r="P12" s="438">
        <f>COUNT(K:K)</f>
        <v>0</v>
      </c>
      <c r="Q12" s="439" t="str">
        <f>IF(P12&gt;0, MEDIAN(K:K), "")</f>
        <v/>
      </c>
      <c r="R12" s="438">
        <f>COUNT(K:K)-S12</f>
        <v>0</v>
      </c>
      <c r="S12" s="438">
        <f>COUNTIF(K:K, "&gt;"&amp;$Q$15)</f>
        <v>0</v>
      </c>
      <c r="T12" s="439" t="str">
        <f>IF(P12&gt;0, _xlfn.QUARTILE.INC(K:K,3)-_xlfn.QUARTILE.INC(K:K,1), "")</f>
        <v/>
      </c>
      <c r="U12" s="707"/>
      <c r="V12" s="707"/>
      <c r="W12" s="36" t="str">
        <f t="shared" si="0"/>
        <v>Group 10</v>
      </c>
      <c r="X12" s="36">
        <f t="shared" si="4"/>
        <v>0</v>
      </c>
      <c r="Y12" s="36">
        <f t="shared" si="4"/>
        <v>0</v>
      </c>
      <c r="Z12" s="36">
        <f t="shared" si="5"/>
        <v>0</v>
      </c>
      <c r="AB12" s="36" t="str">
        <f t="shared" si="1"/>
        <v>Group 10</v>
      </c>
      <c r="AC12" s="440">
        <f t="shared" si="2"/>
        <v>0</v>
      </c>
      <c r="AD12" s="440">
        <f t="shared" si="3"/>
        <v>0</v>
      </c>
      <c r="AE12" s="441">
        <f t="shared" si="6"/>
        <v>0</v>
      </c>
      <c r="AG12" s="36" t="str">
        <f t="shared" si="7"/>
        <v>Group 10</v>
      </c>
      <c r="AH12" s="442" t="str">
        <f t="shared" si="8"/>
        <v/>
      </c>
      <c r="AI12" s="442" t="str">
        <f t="shared" si="9"/>
        <v/>
      </c>
      <c r="AJ12" s="707"/>
      <c r="AK12" s="707"/>
      <c r="AL12" s="707"/>
      <c r="AM12" s="707"/>
    </row>
    <row r="13" spans="1:39">
      <c r="A13" s="1185">
        <v>11</v>
      </c>
      <c r="B13" s="31">
        <v>22.57</v>
      </c>
      <c r="C13" s="307">
        <v>20.55</v>
      </c>
      <c r="D13" s="31"/>
      <c r="E13" s="307"/>
      <c r="F13" s="31"/>
      <c r="G13" s="307"/>
      <c r="H13" s="31"/>
      <c r="I13" s="307"/>
      <c r="J13" s="31"/>
      <c r="K13" s="307"/>
      <c r="L13" s="31"/>
      <c r="M13" s="307"/>
      <c r="N13" s="707"/>
      <c r="O13" s="280" t="str">
        <f>L2</f>
        <v>Group 11</v>
      </c>
      <c r="P13" s="438">
        <f>COUNT(L:L)</f>
        <v>0</v>
      </c>
      <c r="Q13" s="439" t="str">
        <f>IF(P13&gt;0, MEDIAN(L:L), "")</f>
        <v/>
      </c>
      <c r="R13" s="438">
        <f>COUNT(L:L)-S13</f>
        <v>0</v>
      </c>
      <c r="S13" s="438">
        <f>COUNTIF(L:L, "&gt;"&amp;$Q$15)</f>
        <v>0</v>
      </c>
      <c r="T13" s="439" t="str">
        <f>IF(P13&gt;0, _xlfn.QUARTILE.INC(L:L,3)-_xlfn.QUARTILE.INC(L:L,1), "")</f>
        <v/>
      </c>
      <c r="U13" s="707"/>
      <c r="V13" s="707"/>
      <c r="W13" s="36" t="str">
        <f>L2</f>
        <v>Group 11</v>
      </c>
      <c r="X13" s="36">
        <f t="shared" ref="X13" si="10">R13</f>
        <v>0</v>
      </c>
      <c r="Y13" s="36">
        <f t="shared" ref="Y13" si="11">S13</f>
        <v>0</v>
      </c>
      <c r="Z13" s="36">
        <f t="shared" ref="Z13" si="12">SUM(X13:Y13)</f>
        <v>0</v>
      </c>
      <c r="AB13" s="36" t="str">
        <f t="shared" si="1"/>
        <v>Group 11</v>
      </c>
      <c r="AC13" s="440">
        <f t="shared" si="2"/>
        <v>0</v>
      </c>
      <c r="AD13" s="440">
        <f t="shared" si="3"/>
        <v>0</v>
      </c>
      <c r="AE13" s="441">
        <f t="shared" ref="AE13" si="13">SUM(AC13:AD13)</f>
        <v>0</v>
      </c>
      <c r="AG13" s="36" t="str">
        <f t="shared" si="7"/>
        <v>Group 11</v>
      </c>
      <c r="AH13" s="442" t="str">
        <f t="shared" ref="AH13" si="14">IF(Z13&gt;0, ((R13-AC13)^2)/AC13, "")</f>
        <v/>
      </c>
      <c r="AI13" s="442" t="str">
        <f t="shared" ref="AI13" si="15">IF(Z13&gt;0, ((S13-AD13)^2)/AD13, "")</f>
        <v/>
      </c>
      <c r="AJ13" s="707"/>
      <c r="AK13" s="707"/>
      <c r="AL13" s="707"/>
      <c r="AM13" s="707"/>
    </row>
    <row r="14" spans="1:39" ht="16.5" thickBot="1">
      <c r="A14" s="1185">
        <v>12</v>
      </c>
      <c r="B14" s="31">
        <v>22.84</v>
      </c>
      <c r="C14" s="307">
        <v>23.77</v>
      </c>
      <c r="D14" s="31"/>
      <c r="E14" s="307"/>
      <c r="F14" s="31"/>
      <c r="G14" s="307"/>
      <c r="H14" s="31"/>
      <c r="I14" s="307"/>
      <c r="J14" s="31"/>
      <c r="K14" s="307"/>
      <c r="L14" s="31"/>
      <c r="M14" s="307"/>
      <c r="N14" s="707"/>
      <c r="O14" s="443" t="str">
        <f>M2</f>
        <v>Group 12</v>
      </c>
      <c r="P14" s="444">
        <f>COUNT(M:M)</f>
        <v>0</v>
      </c>
      <c r="Q14" s="445" t="str">
        <f>IF(P14&gt;0, MEDIAN(M:M), "")</f>
        <v/>
      </c>
      <c r="R14" s="444">
        <f>COUNT(M:M)-S14</f>
        <v>0</v>
      </c>
      <c r="S14" s="444">
        <f>COUNTIF(M:M, "&gt;"&amp;$Q$15)</f>
        <v>0</v>
      </c>
      <c r="T14" s="445" t="str">
        <f>IF(P14&gt;0, _xlfn.QUARTILE.INC(M:M,3)-_xlfn.QUARTILE.INC(M:M,1), "")</f>
        <v/>
      </c>
      <c r="U14" s="707"/>
      <c r="V14" s="707"/>
      <c r="W14" s="36" t="str">
        <f t="shared" si="0"/>
        <v>Group 12</v>
      </c>
      <c r="X14" s="36">
        <f t="shared" si="4"/>
        <v>0</v>
      </c>
      <c r="Y14" s="36">
        <f t="shared" si="4"/>
        <v>0</v>
      </c>
      <c r="Z14" s="36">
        <f t="shared" si="5"/>
        <v>0</v>
      </c>
      <c r="AB14" s="36" t="str">
        <f t="shared" si="1"/>
        <v>Group 12</v>
      </c>
      <c r="AC14" s="440">
        <f t="shared" si="2"/>
        <v>0</v>
      </c>
      <c r="AD14" s="440">
        <f t="shared" si="3"/>
        <v>0</v>
      </c>
      <c r="AE14" s="441">
        <f t="shared" si="6"/>
        <v>0</v>
      </c>
      <c r="AG14" s="36" t="str">
        <f t="shared" si="7"/>
        <v>Group 12</v>
      </c>
      <c r="AH14" s="442" t="str">
        <f t="shared" si="8"/>
        <v/>
      </c>
      <c r="AI14" s="442" t="str">
        <f t="shared" si="9"/>
        <v/>
      </c>
      <c r="AJ14" s="707"/>
      <c r="AK14" s="707"/>
      <c r="AL14" s="707"/>
      <c r="AM14" s="707"/>
    </row>
    <row r="15" spans="1:39">
      <c r="A15" s="1185">
        <v>13</v>
      </c>
      <c r="B15" s="31">
        <v>21.84</v>
      </c>
      <c r="C15" s="307">
        <v>18.64</v>
      </c>
      <c r="D15" s="31"/>
      <c r="E15" s="307"/>
      <c r="F15" s="31"/>
      <c r="G15" s="307"/>
      <c r="H15" s="31"/>
      <c r="I15" s="307"/>
      <c r="J15" s="31"/>
      <c r="K15" s="307"/>
      <c r="L15" s="31"/>
      <c r="M15" s="307"/>
      <c r="N15" s="707"/>
      <c r="O15" s="103" t="s">
        <v>347</v>
      </c>
      <c r="P15" s="446">
        <f>SUM(P3:P14)</f>
        <v>63</v>
      </c>
      <c r="Q15" s="447">
        <f>MEDIAN(B:M)</f>
        <v>21.7</v>
      </c>
      <c r="R15" s="446">
        <f>SUM(R3:R14)</f>
        <v>32</v>
      </c>
      <c r="S15" s="446">
        <f>SUM(S3:S14)</f>
        <v>31</v>
      </c>
      <c r="T15" s="446">
        <f>_xlfn.QUARTILE.INC(B:M,3)-_xlfn.QUARTILE.INC(B:M,1)</f>
        <v>3.3000000000000007</v>
      </c>
      <c r="U15" s="707"/>
      <c r="V15" s="707"/>
      <c r="W15" s="36" t="s">
        <v>474</v>
      </c>
      <c r="X15" s="36">
        <f>SUM(X3:X14)</f>
        <v>32</v>
      </c>
      <c r="Y15" s="36">
        <f>SUM(Y3:Y14)</f>
        <v>31</v>
      </c>
      <c r="Z15" s="36">
        <f>SUM(Z3:Z14)</f>
        <v>63</v>
      </c>
      <c r="AB15" s="36" t="str">
        <f t="shared" si="1"/>
        <v>Total</v>
      </c>
      <c r="AC15" s="36">
        <f>SUM(AC3:AC14)</f>
        <v>32</v>
      </c>
      <c r="AD15" s="36">
        <f>SUM(AD3:AD14)</f>
        <v>31</v>
      </c>
      <c r="AE15" s="36">
        <f>SUM(AE3:AE14)</f>
        <v>63</v>
      </c>
      <c r="AI15" s="448"/>
      <c r="AJ15" s="707"/>
      <c r="AK15" s="707"/>
      <c r="AL15" s="707"/>
      <c r="AM15" s="707"/>
    </row>
    <row r="16" spans="1:39">
      <c r="A16" s="1185">
        <v>14</v>
      </c>
      <c r="B16" s="31">
        <v>24.1</v>
      </c>
      <c r="C16" s="307">
        <v>17.75</v>
      </c>
      <c r="D16" s="31"/>
      <c r="E16" s="307"/>
      <c r="F16" s="31"/>
      <c r="G16" s="307"/>
      <c r="H16" s="31"/>
      <c r="I16" s="307"/>
      <c r="J16" s="31"/>
      <c r="K16" s="307"/>
      <c r="L16" s="31"/>
      <c r="M16" s="307"/>
      <c r="N16" s="707"/>
      <c r="O16" s="707"/>
      <c r="P16" s="707"/>
      <c r="Q16" s="707"/>
      <c r="R16" s="707"/>
      <c r="S16" s="707"/>
      <c r="T16" s="707"/>
      <c r="U16" s="707"/>
      <c r="V16" s="707"/>
      <c r="AJ16" s="707"/>
      <c r="AK16" s="707"/>
      <c r="AL16" s="707"/>
      <c r="AM16" s="707"/>
    </row>
    <row r="17" spans="1:36">
      <c r="A17" s="1185">
        <v>15</v>
      </c>
      <c r="B17" s="31">
        <v>20</v>
      </c>
      <c r="C17" s="307">
        <v>24.8</v>
      </c>
      <c r="D17" s="31"/>
      <c r="E17" s="307"/>
      <c r="F17" s="31"/>
      <c r="G17" s="307"/>
      <c r="H17" s="31"/>
      <c r="I17" s="307"/>
      <c r="J17" s="31"/>
      <c r="K17" s="307"/>
      <c r="L17" s="31"/>
      <c r="M17" s="307"/>
      <c r="N17" s="707"/>
      <c r="O17" s="707" t="s">
        <v>938</v>
      </c>
      <c r="P17" s="707" t="s">
        <v>985</v>
      </c>
      <c r="Q17" s="707"/>
      <c r="R17" s="707"/>
      <c r="S17" s="707"/>
      <c r="T17" s="707"/>
      <c r="U17" s="707"/>
      <c r="V17" s="707"/>
      <c r="AJ17" s="103"/>
    </row>
    <row r="18" spans="1:36">
      <c r="A18" s="1185">
        <v>16</v>
      </c>
      <c r="B18" s="31">
        <v>20.88</v>
      </c>
      <c r="C18" s="307">
        <v>21.77</v>
      </c>
      <c r="D18" s="31"/>
      <c r="E18" s="307"/>
      <c r="F18" s="31"/>
      <c r="G18" s="307"/>
      <c r="H18" s="31"/>
      <c r="I18" s="307"/>
      <c r="J18" s="31"/>
      <c r="K18" s="307"/>
      <c r="L18" s="31"/>
      <c r="M18" s="307"/>
      <c r="N18" s="707"/>
      <c r="O18" s="707" t="s">
        <v>940</v>
      </c>
      <c r="P18" s="707" t="s">
        <v>986</v>
      </c>
      <c r="Q18" s="707"/>
      <c r="R18" s="707"/>
      <c r="S18" s="707"/>
      <c r="T18" s="707"/>
      <c r="U18" s="707"/>
      <c r="V18" s="707"/>
      <c r="W18" s="448"/>
      <c r="AJ18" s="707"/>
    </row>
    <row r="19" spans="1:36">
      <c r="A19" s="1185">
        <v>17</v>
      </c>
      <c r="B19" s="31">
        <v>18.96</v>
      </c>
      <c r="C19" s="307">
        <v>20.84</v>
      </c>
      <c r="D19" s="31"/>
      <c r="E19" s="307"/>
      <c r="F19" s="31"/>
      <c r="G19" s="307"/>
      <c r="H19" s="31"/>
      <c r="I19" s="307"/>
      <c r="J19" s="31"/>
      <c r="K19" s="307"/>
      <c r="L19" s="31"/>
      <c r="M19" s="307"/>
      <c r="N19" s="707"/>
      <c r="O19" s="707" t="s">
        <v>958</v>
      </c>
      <c r="P19" s="707"/>
      <c r="Q19" s="707"/>
      <c r="R19" s="707"/>
      <c r="S19" s="707"/>
      <c r="T19" s="707"/>
      <c r="U19" s="707"/>
      <c r="V19" s="707"/>
      <c r="W19" s="448"/>
      <c r="AJ19" s="707"/>
    </row>
    <row r="20" spans="1:36">
      <c r="A20" s="1185">
        <v>18</v>
      </c>
      <c r="B20" s="31">
        <v>25.07</v>
      </c>
      <c r="C20" s="307">
        <v>21.97</v>
      </c>
      <c r="D20" s="31"/>
      <c r="E20" s="307"/>
      <c r="F20" s="31"/>
      <c r="G20" s="307"/>
      <c r="H20" s="31"/>
      <c r="I20" s="307"/>
      <c r="J20" s="31"/>
      <c r="K20" s="307"/>
      <c r="L20" s="31"/>
      <c r="M20" s="307"/>
      <c r="N20" s="707"/>
      <c r="O20" s="707"/>
      <c r="P20" s="707"/>
      <c r="Q20" s="707"/>
      <c r="R20" s="707"/>
      <c r="S20" s="707"/>
      <c r="T20" s="707"/>
      <c r="U20" s="707"/>
      <c r="V20" s="707"/>
      <c r="AJ20" s="707"/>
    </row>
    <row r="21" spans="1:36">
      <c r="A21" s="1185">
        <v>19</v>
      </c>
      <c r="B21" s="31">
        <v>19.54</v>
      </c>
      <c r="C21" s="307">
        <v>21.65</v>
      </c>
      <c r="D21" s="31"/>
      <c r="E21" s="307"/>
      <c r="F21" s="31"/>
      <c r="G21" s="307"/>
      <c r="H21" s="31"/>
      <c r="I21" s="307"/>
      <c r="J21" s="31"/>
      <c r="K21" s="307"/>
      <c r="L21" s="31"/>
      <c r="M21" s="307"/>
      <c r="N21" s="707"/>
      <c r="O21" s="398" t="s">
        <v>943</v>
      </c>
      <c r="P21" s="103">
        <v>0.05</v>
      </c>
      <c r="Q21" s="707"/>
      <c r="R21" s="707"/>
      <c r="S21" s="707"/>
      <c r="T21" s="707"/>
      <c r="U21" s="707"/>
      <c r="V21" s="707"/>
      <c r="AJ21" s="707"/>
    </row>
    <row r="22" spans="1:36">
      <c r="A22" s="1185">
        <v>20</v>
      </c>
      <c r="B22" s="31">
        <v>24.76</v>
      </c>
      <c r="C22" s="307">
        <v>26.98</v>
      </c>
      <c r="D22" s="31"/>
      <c r="E22" s="307"/>
      <c r="F22" s="31"/>
      <c r="G22" s="307"/>
      <c r="H22" s="31"/>
      <c r="I22" s="307"/>
      <c r="J22" s="31"/>
      <c r="K22" s="307"/>
      <c r="L22" s="31"/>
      <c r="M22" s="307"/>
      <c r="N22" s="707"/>
      <c r="O22" s="989" t="s">
        <v>987</v>
      </c>
      <c r="P22" s="1191">
        <f>SUM(AH3:AI14)</f>
        <v>0.39028592375366511</v>
      </c>
      <c r="Q22" s="707"/>
      <c r="R22" s="707"/>
      <c r="S22" s="707"/>
      <c r="T22" s="707"/>
      <c r="U22" s="707"/>
      <c r="V22" s="707"/>
      <c r="AJ22" s="707"/>
    </row>
    <row r="23" spans="1:36">
      <c r="A23" s="1185">
        <v>21</v>
      </c>
      <c r="B23" s="31">
        <v>18.989999999999998</v>
      </c>
      <c r="C23" s="307">
        <v>25.86</v>
      </c>
      <c r="D23" s="31"/>
      <c r="E23" s="307"/>
      <c r="F23" s="31"/>
      <c r="G23" s="307"/>
      <c r="H23" s="31"/>
      <c r="I23" s="307"/>
      <c r="J23" s="31"/>
      <c r="K23" s="307"/>
      <c r="L23" s="31"/>
      <c r="M23" s="307"/>
      <c r="N23" s="707"/>
      <c r="O23" s="989" t="s">
        <v>945</v>
      </c>
      <c r="P23" s="707">
        <f>(COUNTA(B2:M2)-1)</f>
        <v>11</v>
      </c>
      <c r="Q23" s="707"/>
      <c r="R23" s="707"/>
      <c r="S23" s="707"/>
      <c r="T23" s="707"/>
      <c r="U23" s="707"/>
      <c r="V23" s="707"/>
      <c r="W23" s="448"/>
      <c r="AJ23" s="707"/>
    </row>
    <row r="24" spans="1:36">
      <c r="A24" s="1185">
        <v>22</v>
      </c>
      <c r="B24" s="31">
        <v>20.64</v>
      </c>
      <c r="C24" s="307">
        <v>25.6</v>
      </c>
      <c r="D24" s="31"/>
      <c r="E24" s="307"/>
      <c r="F24" s="31"/>
      <c r="G24" s="307"/>
      <c r="H24" s="31"/>
      <c r="I24" s="307"/>
      <c r="J24" s="31"/>
      <c r="K24" s="307"/>
      <c r="L24" s="31"/>
      <c r="M24" s="307"/>
      <c r="N24" s="707"/>
      <c r="O24" s="449" t="s">
        <v>960</v>
      </c>
      <c r="P24" s="426">
        <f>_xlfn.CHISQ.DIST.RT(P22, P23)</f>
        <v>0.99999963173928963</v>
      </c>
      <c r="Q24" s="707"/>
      <c r="R24" s="707"/>
      <c r="S24" s="707"/>
      <c r="T24" s="707"/>
      <c r="U24" s="707"/>
      <c r="V24" s="707"/>
      <c r="W24" s="448"/>
      <c r="AJ24" s="707"/>
    </row>
    <row r="25" spans="1:36">
      <c r="A25" s="1185">
        <v>23</v>
      </c>
      <c r="B25" s="31">
        <v>23.72</v>
      </c>
      <c r="C25" s="307">
        <v>20.36</v>
      </c>
      <c r="D25" s="31"/>
      <c r="E25" s="307"/>
      <c r="F25" s="31"/>
      <c r="G25" s="307"/>
      <c r="H25" s="31"/>
      <c r="I25" s="307"/>
      <c r="J25" s="31"/>
      <c r="K25" s="307"/>
      <c r="L25" s="31"/>
      <c r="M25" s="307"/>
      <c r="N25" s="707"/>
      <c r="O25" s="707"/>
      <c r="P25" s="707"/>
      <c r="Q25" s="707"/>
      <c r="R25" s="707"/>
      <c r="S25" s="707"/>
      <c r="T25" s="707"/>
      <c r="U25" s="707"/>
      <c r="V25" s="707"/>
      <c r="AJ25" s="707"/>
    </row>
    <row r="26" spans="1:36">
      <c r="A26" s="1185">
        <v>24</v>
      </c>
      <c r="B26" s="31">
        <v>23.67</v>
      </c>
      <c r="C26" s="307">
        <v>18.96</v>
      </c>
      <c r="D26" s="31"/>
      <c r="E26" s="307"/>
      <c r="F26" s="31"/>
      <c r="G26" s="307"/>
      <c r="H26" s="31"/>
      <c r="I26" s="307"/>
      <c r="J26" s="31"/>
      <c r="K26" s="307"/>
      <c r="L26" s="31"/>
      <c r="M26" s="307"/>
      <c r="N26" s="707"/>
      <c r="O26" s="707"/>
      <c r="P26" s="707"/>
      <c r="Q26" s="707"/>
      <c r="R26" s="707"/>
      <c r="S26" s="707"/>
      <c r="T26" s="707"/>
      <c r="U26" s="707"/>
      <c r="V26" s="707"/>
      <c r="AJ26" s="707"/>
    </row>
    <row r="27" spans="1:36">
      <c r="A27" s="1185">
        <v>25</v>
      </c>
      <c r="B27" s="31">
        <v>22.58</v>
      </c>
      <c r="C27" s="307">
        <v>21.86</v>
      </c>
      <c r="D27" s="31"/>
      <c r="E27" s="307"/>
      <c r="F27" s="31"/>
      <c r="G27" s="307"/>
      <c r="H27" s="31"/>
      <c r="I27" s="307"/>
      <c r="J27" s="31"/>
      <c r="K27" s="307"/>
      <c r="L27" s="31"/>
      <c r="M27" s="307"/>
      <c r="N27" s="707"/>
      <c r="O27" s="707"/>
      <c r="P27" s="707"/>
      <c r="Q27" s="707"/>
      <c r="R27" s="707"/>
      <c r="S27" s="707"/>
      <c r="T27" s="707"/>
      <c r="U27" s="707"/>
      <c r="V27" s="707"/>
      <c r="AJ27" s="707"/>
    </row>
    <row r="28" spans="1:36">
      <c r="A28" s="1185">
        <v>26</v>
      </c>
      <c r="B28" s="31">
        <v>19.77</v>
      </c>
      <c r="C28" s="307">
        <v>20.71</v>
      </c>
      <c r="D28" s="31"/>
      <c r="E28" s="307"/>
      <c r="F28" s="31"/>
      <c r="G28" s="307"/>
      <c r="H28" s="31"/>
      <c r="I28" s="307"/>
      <c r="J28" s="31"/>
      <c r="K28" s="307"/>
      <c r="L28" s="31"/>
      <c r="M28" s="307"/>
      <c r="N28" s="707"/>
      <c r="O28" s="707"/>
      <c r="P28" s="707"/>
      <c r="Q28" s="707"/>
      <c r="R28" s="707"/>
      <c r="S28" s="707"/>
      <c r="T28" s="707"/>
      <c r="U28" s="707"/>
      <c r="V28" s="707"/>
      <c r="AJ28" s="707"/>
    </row>
    <row r="29" spans="1:36">
      <c r="A29" s="1185">
        <v>27</v>
      </c>
      <c r="B29" s="31">
        <v>26.26</v>
      </c>
      <c r="C29" s="307">
        <v>22.84</v>
      </c>
      <c r="D29" s="31"/>
      <c r="E29" s="307"/>
      <c r="F29" s="31"/>
      <c r="G29" s="307"/>
      <c r="H29" s="31"/>
      <c r="I29" s="307"/>
      <c r="J29" s="31"/>
      <c r="K29" s="307"/>
      <c r="L29" s="31"/>
      <c r="M29" s="307"/>
      <c r="N29" s="707"/>
      <c r="O29" s="707"/>
      <c r="P29" s="707"/>
      <c r="Q29" s="707"/>
      <c r="R29" s="707"/>
      <c r="S29" s="707"/>
      <c r="T29" s="707"/>
      <c r="U29" s="707"/>
      <c r="V29" s="707"/>
      <c r="W29" s="448"/>
      <c r="AJ29" s="707"/>
    </row>
    <row r="30" spans="1:36">
      <c r="A30" s="1185">
        <v>28</v>
      </c>
      <c r="B30" s="31">
        <v>21.61</v>
      </c>
      <c r="C30" s="307">
        <v>22.67</v>
      </c>
      <c r="D30" s="31"/>
      <c r="E30" s="307"/>
      <c r="F30" s="31"/>
      <c r="G30" s="307"/>
      <c r="H30" s="31"/>
      <c r="I30" s="307"/>
      <c r="J30" s="31"/>
      <c r="K30" s="307"/>
      <c r="L30" s="31"/>
      <c r="M30" s="307"/>
      <c r="N30" s="707"/>
      <c r="O30" s="707"/>
      <c r="P30" s="707"/>
      <c r="Q30" s="707"/>
      <c r="R30" s="707"/>
      <c r="S30" s="707"/>
      <c r="T30" s="707"/>
      <c r="U30" s="707"/>
      <c r="V30" s="707"/>
      <c r="AJ30" s="707"/>
    </row>
    <row r="31" spans="1:36">
      <c r="A31" s="1185">
        <v>29</v>
      </c>
      <c r="B31" s="31">
        <v>19.11</v>
      </c>
      <c r="C31" s="307">
        <v>23.29</v>
      </c>
      <c r="D31" s="31"/>
      <c r="E31" s="307"/>
      <c r="F31" s="31"/>
      <c r="G31" s="307"/>
      <c r="H31" s="31"/>
      <c r="I31" s="307"/>
      <c r="J31" s="31"/>
      <c r="K31" s="307"/>
      <c r="L31" s="31"/>
      <c r="M31" s="307"/>
      <c r="N31" s="707"/>
      <c r="O31" s="707"/>
      <c r="P31" s="707"/>
      <c r="Q31" s="707"/>
      <c r="R31" s="707"/>
      <c r="S31" s="707"/>
      <c r="T31" s="707"/>
      <c r="U31" s="707"/>
      <c r="V31" s="707"/>
      <c r="AJ31" s="707"/>
    </row>
    <row r="32" spans="1:36">
      <c r="A32" s="1185">
        <v>30</v>
      </c>
      <c r="B32" s="31">
        <v>22.8</v>
      </c>
      <c r="C32" s="307">
        <v>17.5</v>
      </c>
      <c r="D32" s="307"/>
      <c r="E32" s="307"/>
      <c r="F32" s="307"/>
      <c r="G32" s="307"/>
      <c r="H32" s="307"/>
      <c r="I32" s="307"/>
      <c r="J32" s="307"/>
      <c r="K32" s="307"/>
      <c r="L32" s="307"/>
      <c r="M32" s="307"/>
      <c r="N32" s="707"/>
      <c r="O32" s="707"/>
      <c r="P32" s="707"/>
      <c r="Q32" s="707"/>
      <c r="R32" s="707"/>
      <c r="S32" s="707"/>
      <c r="T32" s="707"/>
      <c r="U32" s="707"/>
      <c r="V32" s="707"/>
      <c r="AJ32" s="707"/>
    </row>
    <row r="33" spans="1:13">
      <c r="A33" s="1185">
        <v>31</v>
      </c>
      <c r="B33" s="31">
        <v>23.93</v>
      </c>
      <c r="C33" s="307"/>
      <c r="D33" s="307"/>
      <c r="E33" s="307"/>
      <c r="F33" s="307"/>
      <c r="G33" s="307"/>
      <c r="H33" s="307"/>
      <c r="I33" s="307"/>
      <c r="J33" s="307"/>
      <c r="K33" s="307"/>
      <c r="L33" s="307"/>
      <c r="M33" s="307"/>
    </row>
    <row r="34" spans="1:13">
      <c r="A34" s="1185">
        <v>32</v>
      </c>
      <c r="B34" s="31">
        <v>21.32</v>
      </c>
      <c r="C34" s="307"/>
      <c r="D34" s="307"/>
      <c r="E34" s="307"/>
      <c r="F34" s="307"/>
      <c r="G34" s="307"/>
      <c r="H34" s="307"/>
      <c r="I34" s="307"/>
      <c r="J34" s="307"/>
      <c r="K34" s="307"/>
      <c r="L34" s="307"/>
      <c r="M34" s="307"/>
    </row>
    <row r="35" spans="1:13">
      <c r="A35" s="1185">
        <v>33</v>
      </c>
      <c r="B35" s="31">
        <v>20.37</v>
      </c>
      <c r="C35" s="307"/>
      <c r="D35" s="307"/>
      <c r="E35" s="307"/>
      <c r="F35" s="307"/>
      <c r="G35" s="307"/>
      <c r="H35" s="307"/>
      <c r="I35" s="307"/>
      <c r="J35" s="307"/>
      <c r="K35" s="307"/>
      <c r="L35" s="307"/>
      <c r="M35" s="307"/>
    </row>
    <row r="36" spans="1:13">
      <c r="A36" s="1185">
        <v>34</v>
      </c>
      <c r="B36" s="31"/>
      <c r="C36" s="307"/>
      <c r="D36" s="307"/>
      <c r="E36" s="307"/>
      <c r="F36" s="307"/>
      <c r="G36" s="307"/>
      <c r="H36" s="307"/>
      <c r="I36" s="307"/>
      <c r="J36" s="307"/>
      <c r="K36" s="307"/>
      <c r="L36" s="307"/>
      <c r="M36" s="307"/>
    </row>
    <row r="37" spans="1:13">
      <c r="A37" s="1185">
        <v>35</v>
      </c>
      <c r="B37" s="31"/>
      <c r="C37" s="307"/>
      <c r="D37" s="307"/>
      <c r="E37" s="307"/>
      <c r="F37" s="307"/>
      <c r="G37" s="307"/>
      <c r="H37" s="307"/>
      <c r="I37" s="307"/>
      <c r="J37" s="307"/>
      <c r="K37" s="307"/>
      <c r="L37" s="307"/>
      <c r="M37" s="307"/>
    </row>
    <row r="38" spans="1:13">
      <c r="A38" s="1185">
        <v>36</v>
      </c>
      <c r="B38" s="31"/>
      <c r="C38" s="307"/>
      <c r="D38" s="307"/>
      <c r="E38" s="307"/>
      <c r="F38" s="307"/>
      <c r="G38" s="307"/>
      <c r="H38" s="307"/>
      <c r="I38" s="307"/>
      <c r="J38" s="307"/>
      <c r="K38" s="307"/>
      <c r="L38" s="307"/>
      <c r="M38" s="307"/>
    </row>
    <row r="39" spans="1:13">
      <c r="A39" s="1185">
        <v>37</v>
      </c>
      <c r="B39" s="31"/>
      <c r="C39" s="307"/>
      <c r="D39" s="307"/>
      <c r="E39" s="307"/>
      <c r="F39" s="307"/>
      <c r="G39" s="307"/>
      <c r="H39" s="307"/>
      <c r="I39" s="307"/>
      <c r="J39" s="307"/>
      <c r="K39" s="307"/>
      <c r="L39" s="307"/>
      <c r="M39" s="307"/>
    </row>
    <row r="40" spans="1:13">
      <c r="A40" s="1185">
        <v>38</v>
      </c>
      <c r="B40" s="31"/>
      <c r="C40" s="307"/>
      <c r="D40" s="307"/>
      <c r="E40" s="307"/>
      <c r="F40" s="307"/>
      <c r="G40" s="307"/>
      <c r="H40" s="307"/>
      <c r="I40" s="307"/>
      <c r="J40" s="307"/>
      <c r="K40" s="307"/>
      <c r="L40" s="307"/>
      <c r="M40" s="307"/>
    </row>
    <row r="41" spans="1:13">
      <c r="A41" s="1185">
        <v>39</v>
      </c>
      <c r="B41" s="31"/>
      <c r="C41" s="307"/>
      <c r="D41" s="307"/>
      <c r="E41" s="307"/>
      <c r="F41" s="307"/>
      <c r="G41" s="307"/>
      <c r="H41" s="307"/>
      <c r="I41" s="307"/>
      <c r="J41" s="307"/>
      <c r="K41" s="307"/>
      <c r="L41" s="307"/>
      <c r="M41" s="307"/>
    </row>
    <row r="42" spans="1:13">
      <c r="A42" s="1185">
        <v>40</v>
      </c>
      <c r="B42" s="31"/>
      <c r="C42" s="307"/>
      <c r="D42" s="307"/>
      <c r="E42" s="307"/>
      <c r="F42" s="307"/>
      <c r="G42" s="307"/>
      <c r="H42" s="307"/>
      <c r="I42" s="307"/>
      <c r="J42" s="307"/>
      <c r="K42" s="307"/>
      <c r="L42" s="307"/>
      <c r="M42" s="307"/>
    </row>
    <row r="43" spans="1:13">
      <c r="A43" s="1185">
        <v>41</v>
      </c>
      <c r="B43" s="31"/>
      <c r="C43" s="307"/>
      <c r="D43" s="307"/>
      <c r="E43" s="307"/>
      <c r="F43" s="307"/>
      <c r="G43" s="307"/>
      <c r="H43" s="307"/>
      <c r="I43" s="307"/>
      <c r="J43" s="307"/>
      <c r="K43" s="307"/>
      <c r="L43" s="307"/>
      <c r="M43" s="307"/>
    </row>
    <row r="44" spans="1:13">
      <c r="A44" s="1185">
        <v>42</v>
      </c>
      <c r="B44" s="31"/>
      <c r="C44" s="307"/>
      <c r="D44" s="307"/>
      <c r="E44" s="307"/>
      <c r="F44" s="307"/>
      <c r="G44" s="307"/>
      <c r="H44" s="307"/>
      <c r="I44" s="307"/>
      <c r="J44" s="307"/>
      <c r="K44" s="307"/>
      <c r="L44" s="307"/>
      <c r="M44" s="307"/>
    </row>
    <row r="45" spans="1:13">
      <c r="A45" s="1185">
        <v>43</v>
      </c>
      <c r="B45" s="307"/>
      <c r="C45" s="307"/>
      <c r="D45" s="307"/>
      <c r="E45" s="307"/>
      <c r="F45" s="307"/>
      <c r="G45" s="307"/>
      <c r="H45" s="307"/>
      <c r="I45" s="307"/>
      <c r="J45" s="307"/>
      <c r="K45" s="307"/>
      <c r="L45" s="307"/>
      <c r="M45" s="307"/>
    </row>
    <row r="46" spans="1:13">
      <c r="A46" s="1185">
        <v>44</v>
      </c>
      <c r="B46" s="307"/>
      <c r="C46" s="307"/>
      <c r="D46" s="307"/>
      <c r="E46" s="307"/>
      <c r="F46" s="307"/>
      <c r="G46" s="307"/>
      <c r="H46" s="307"/>
      <c r="I46" s="307"/>
      <c r="J46" s="307"/>
      <c r="K46" s="307"/>
      <c r="L46" s="307"/>
      <c r="M46" s="307"/>
    </row>
    <row r="47" spans="1:13">
      <c r="A47" s="1185">
        <v>45</v>
      </c>
      <c r="B47" s="307"/>
      <c r="C47" s="307"/>
      <c r="D47" s="307"/>
      <c r="E47" s="307"/>
      <c r="F47" s="307"/>
      <c r="G47" s="307"/>
      <c r="H47" s="307"/>
      <c r="I47" s="307"/>
      <c r="J47" s="307"/>
      <c r="K47" s="307"/>
      <c r="L47" s="307"/>
      <c r="M47" s="307"/>
    </row>
    <row r="48" spans="1:13">
      <c r="A48" s="1185">
        <v>46</v>
      </c>
      <c r="B48" s="307"/>
      <c r="C48" s="307"/>
      <c r="D48" s="307"/>
      <c r="E48" s="307"/>
      <c r="F48" s="307"/>
      <c r="G48" s="307"/>
      <c r="H48" s="307"/>
      <c r="I48" s="307"/>
      <c r="J48" s="307"/>
      <c r="K48" s="307"/>
      <c r="L48" s="307"/>
      <c r="M48" s="307"/>
    </row>
    <row r="49" spans="1:13">
      <c r="A49" s="1185">
        <v>47</v>
      </c>
      <c r="B49" s="307"/>
      <c r="C49" s="307"/>
      <c r="D49" s="307"/>
      <c r="E49" s="307"/>
      <c r="F49" s="307"/>
      <c r="G49" s="307"/>
      <c r="H49" s="307"/>
      <c r="I49" s="307"/>
      <c r="J49" s="307"/>
      <c r="K49" s="307"/>
      <c r="L49" s="307"/>
      <c r="M49" s="307"/>
    </row>
    <row r="50" spans="1:13">
      <c r="A50" s="1185">
        <v>48</v>
      </c>
      <c r="B50" s="307"/>
      <c r="C50" s="307"/>
      <c r="D50" s="307"/>
      <c r="E50" s="307"/>
      <c r="F50" s="307"/>
      <c r="G50" s="307"/>
      <c r="H50" s="307"/>
      <c r="I50" s="307"/>
      <c r="J50" s="307"/>
      <c r="K50" s="307"/>
      <c r="L50" s="307"/>
      <c r="M50" s="307"/>
    </row>
    <row r="51" spans="1:13">
      <c r="A51" s="1185">
        <v>49</v>
      </c>
      <c r="B51" s="307"/>
      <c r="C51" s="307"/>
      <c r="D51" s="307"/>
      <c r="E51" s="307"/>
      <c r="F51" s="307"/>
      <c r="G51" s="307"/>
      <c r="H51" s="307"/>
      <c r="I51" s="307"/>
      <c r="J51" s="307"/>
      <c r="K51" s="307"/>
      <c r="L51" s="307"/>
      <c r="M51" s="307"/>
    </row>
    <row r="52" spans="1:13">
      <c r="A52" s="1185">
        <v>50</v>
      </c>
      <c r="B52" s="307"/>
      <c r="C52" s="307"/>
      <c r="D52" s="307"/>
      <c r="E52" s="307"/>
      <c r="F52" s="307"/>
      <c r="G52" s="307"/>
      <c r="H52" s="307"/>
      <c r="I52" s="307"/>
      <c r="J52" s="307"/>
      <c r="K52" s="307"/>
      <c r="L52" s="307"/>
      <c r="M52" s="307"/>
    </row>
    <row r="53" spans="1:13">
      <c r="A53" s="1185">
        <v>51</v>
      </c>
      <c r="B53" s="307"/>
      <c r="C53" s="307"/>
      <c r="D53" s="307"/>
      <c r="E53" s="307"/>
      <c r="F53" s="307"/>
      <c r="G53" s="307"/>
      <c r="H53" s="307"/>
      <c r="I53" s="307"/>
      <c r="J53" s="307"/>
      <c r="K53" s="307"/>
      <c r="L53" s="307"/>
      <c r="M53" s="307"/>
    </row>
    <row r="54" spans="1:13">
      <c r="A54" s="1185">
        <v>52</v>
      </c>
      <c r="B54" s="307"/>
      <c r="C54" s="307"/>
      <c r="D54" s="307"/>
      <c r="E54" s="307"/>
      <c r="F54" s="307"/>
      <c r="G54" s="307"/>
      <c r="H54" s="307"/>
      <c r="I54" s="307"/>
      <c r="J54" s="307"/>
      <c r="K54" s="307"/>
      <c r="L54" s="307"/>
      <c r="M54" s="307"/>
    </row>
    <row r="55" spans="1:13">
      <c r="A55" s="1185">
        <v>53</v>
      </c>
      <c r="B55" s="307"/>
      <c r="C55" s="307"/>
      <c r="D55" s="307"/>
      <c r="E55" s="307"/>
      <c r="F55" s="307"/>
      <c r="G55" s="307"/>
      <c r="H55" s="307"/>
      <c r="I55" s="307"/>
      <c r="J55" s="307"/>
      <c r="K55" s="307"/>
      <c r="L55" s="307"/>
      <c r="M55" s="307"/>
    </row>
    <row r="56" spans="1:13">
      <c r="A56" s="1185">
        <v>54</v>
      </c>
      <c r="B56" s="307"/>
      <c r="C56" s="307"/>
      <c r="D56" s="307"/>
      <c r="E56" s="307"/>
      <c r="F56" s="307"/>
      <c r="G56" s="307"/>
      <c r="H56" s="307"/>
      <c r="I56" s="307"/>
      <c r="J56" s="307"/>
      <c r="K56" s="307"/>
      <c r="L56" s="307"/>
      <c r="M56" s="307"/>
    </row>
    <row r="57" spans="1:13">
      <c r="A57" s="1185">
        <v>55</v>
      </c>
      <c r="B57" s="307"/>
      <c r="C57" s="307"/>
      <c r="D57" s="307"/>
      <c r="E57" s="307"/>
      <c r="F57" s="307"/>
      <c r="G57" s="307"/>
      <c r="H57" s="307"/>
      <c r="I57" s="307"/>
      <c r="J57" s="307"/>
      <c r="K57" s="307"/>
      <c r="L57" s="307"/>
      <c r="M57" s="307"/>
    </row>
    <row r="58" spans="1:13">
      <c r="A58" s="1185">
        <v>56</v>
      </c>
      <c r="B58" s="307"/>
      <c r="C58" s="307"/>
      <c r="D58" s="307"/>
      <c r="E58" s="307"/>
      <c r="F58" s="307"/>
      <c r="G58" s="307"/>
      <c r="H58" s="307"/>
      <c r="I58" s="307"/>
      <c r="J58" s="307"/>
      <c r="K58" s="307"/>
      <c r="L58" s="307"/>
      <c r="M58" s="307"/>
    </row>
    <row r="59" spans="1:13">
      <c r="A59" s="1185">
        <v>57</v>
      </c>
      <c r="B59" s="307"/>
      <c r="C59" s="307"/>
      <c r="D59" s="307"/>
      <c r="E59" s="307"/>
      <c r="F59" s="307"/>
      <c r="G59" s="307"/>
      <c r="H59" s="307"/>
      <c r="I59" s="307"/>
      <c r="J59" s="307"/>
      <c r="K59" s="307"/>
      <c r="L59" s="307"/>
      <c r="M59" s="307"/>
    </row>
    <row r="60" spans="1:13">
      <c r="A60" s="1185">
        <v>58</v>
      </c>
      <c r="B60" s="307"/>
      <c r="C60" s="307"/>
      <c r="D60" s="307"/>
      <c r="E60" s="307"/>
      <c r="F60" s="307"/>
      <c r="G60" s="307"/>
      <c r="H60" s="307"/>
      <c r="I60" s="307"/>
      <c r="J60" s="307"/>
      <c r="K60" s="307"/>
      <c r="L60" s="307"/>
      <c r="M60" s="307"/>
    </row>
    <row r="61" spans="1:13">
      <c r="A61" s="1185">
        <v>59</v>
      </c>
      <c r="B61" s="307"/>
      <c r="C61" s="307"/>
      <c r="D61" s="307"/>
      <c r="E61" s="307"/>
      <c r="F61" s="307"/>
      <c r="G61" s="307"/>
      <c r="H61" s="307"/>
      <c r="I61" s="307"/>
      <c r="J61" s="307"/>
      <c r="K61" s="307"/>
      <c r="L61" s="307"/>
      <c r="M61" s="307"/>
    </row>
    <row r="62" spans="1:13">
      <c r="A62" s="1185">
        <v>60</v>
      </c>
      <c r="B62" s="307"/>
      <c r="C62" s="307"/>
      <c r="D62" s="307"/>
      <c r="E62" s="307"/>
      <c r="F62" s="307"/>
      <c r="G62" s="307"/>
      <c r="H62" s="307"/>
      <c r="I62" s="307"/>
      <c r="J62" s="307"/>
      <c r="K62" s="307"/>
      <c r="L62" s="307"/>
      <c r="M62" s="307"/>
    </row>
    <row r="63" spans="1:13">
      <c r="A63" s="1185">
        <v>61</v>
      </c>
      <c r="B63" s="307"/>
      <c r="C63" s="307"/>
      <c r="D63" s="307"/>
      <c r="E63" s="307"/>
      <c r="F63" s="307"/>
      <c r="G63" s="307"/>
      <c r="H63" s="307"/>
      <c r="I63" s="307"/>
      <c r="J63" s="307"/>
      <c r="K63" s="307"/>
      <c r="L63" s="307"/>
      <c r="M63" s="307"/>
    </row>
    <row r="64" spans="1:13">
      <c r="A64" s="1185">
        <v>62</v>
      </c>
      <c r="B64" s="307"/>
      <c r="C64" s="307"/>
      <c r="D64" s="307"/>
      <c r="E64" s="307"/>
      <c r="F64" s="307"/>
      <c r="G64" s="307"/>
      <c r="H64" s="307"/>
      <c r="I64" s="307"/>
      <c r="J64" s="307"/>
      <c r="K64" s="307"/>
      <c r="L64" s="307"/>
      <c r="M64" s="307"/>
    </row>
    <row r="65" spans="1:13">
      <c r="A65" s="1185">
        <v>63</v>
      </c>
      <c r="B65" s="307"/>
      <c r="C65" s="307"/>
      <c r="D65" s="307"/>
      <c r="E65" s="307"/>
      <c r="F65" s="307"/>
      <c r="G65" s="307"/>
      <c r="H65" s="307"/>
      <c r="I65" s="307"/>
      <c r="J65" s="307"/>
      <c r="K65" s="307"/>
      <c r="L65" s="307"/>
      <c r="M65" s="307"/>
    </row>
    <row r="66" spans="1:13">
      <c r="A66" s="1185">
        <v>64</v>
      </c>
      <c r="B66" s="307"/>
      <c r="C66" s="307"/>
      <c r="D66" s="307"/>
      <c r="E66" s="307"/>
      <c r="F66" s="307"/>
      <c r="G66" s="307"/>
      <c r="H66" s="307"/>
      <c r="I66" s="307"/>
      <c r="J66" s="307"/>
      <c r="K66" s="307"/>
      <c r="L66" s="307"/>
      <c r="M66" s="307"/>
    </row>
    <row r="67" spans="1:13">
      <c r="A67" s="1185">
        <v>65</v>
      </c>
      <c r="B67" s="307"/>
      <c r="C67" s="307"/>
      <c r="D67" s="307"/>
      <c r="E67" s="307"/>
      <c r="F67" s="307"/>
      <c r="G67" s="307"/>
      <c r="H67" s="307"/>
      <c r="I67" s="307"/>
      <c r="J67" s="307"/>
      <c r="K67" s="307"/>
      <c r="L67" s="307"/>
      <c r="M67" s="307"/>
    </row>
    <row r="68" spans="1:13">
      <c r="A68" s="1185">
        <v>66</v>
      </c>
      <c r="B68" s="307"/>
      <c r="C68" s="307"/>
      <c r="D68" s="307"/>
      <c r="E68" s="307"/>
      <c r="F68" s="307"/>
      <c r="G68" s="307"/>
      <c r="H68" s="307"/>
      <c r="I68" s="307"/>
      <c r="J68" s="307"/>
      <c r="K68" s="307"/>
      <c r="L68" s="307"/>
      <c r="M68" s="307"/>
    </row>
    <row r="69" spans="1:13">
      <c r="A69" s="1185">
        <v>67</v>
      </c>
      <c r="B69" s="307"/>
      <c r="C69" s="307"/>
      <c r="D69" s="307"/>
      <c r="E69" s="307"/>
      <c r="F69" s="307"/>
      <c r="G69" s="307"/>
      <c r="H69" s="307"/>
      <c r="I69" s="307"/>
      <c r="J69" s="307"/>
      <c r="K69" s="307"/>
      <c r="L69" s="307"/>
      <c r="M69" s="307"/>
    </row>
    <row r="70" spans="1:13">
      <c r="A70" s="1185">
        <v>68</v>
      </c>
      <c r="B70" s="307"/>
      <c r="C70" s="307"/>
      <c r="D70" s="307"/>
      <c r="E70" s="307"/>
      <c r="F70" s="307"/>
      <c r="G70" s="307"/>
      <c r="H70" s="307"/>
      <c r="I70" s="307"/>
      <c r="J70" s="307"/>
      <c r="K70" s="307"/>
      <c r="L70" s="307"/>
      <c r="M70" s="307"/>
    </row>
    <row r="71" spans="1:13">
      <c r="A71" s="1185">
        <v>69</v>
      </c>
      <c r="B71" s="307"/>
      <c r="C71" s="307"/>
      <c r="D71" s="307"/>
      <c r="E71" s="307"/>
      <c r="F71" s="307"/>
      <c r="G71" s="307"/>
      <c r="H71" s="307"/>
      <c r="I71" s="307"/>
      <c r="J71" s="307"/>
      <c r="K71" s="307"/>
      <c r="L71" s="307"/>
      <c r="M71" s="307"/>
    </row>
    <row r="72" spans="1:13">
      <c r="A72" s="1185">
        <v>70</v>
      </c>
      <c r="B72" s="307"/>
      <c r="C72" s="307"/>
      <c r="D72" s="307"/>
      <c r="E72" s="307"/>
      <c r="F72" s="307"/>
      <c r="G72" s="307"/>
      <c r="H72" s="307"/>
      <c r="I72" s="307"/>
      <c r="J72" s="307"/>
      <c r="K72" s="307"/>
      <c r="L72" s="307"/>
      <c r="M72" s="307"/>
    </row>
  </sheetData>
  <phoneticPr fontId="32" type="noConversion"/>
  <pageMargins left="0.70866141732283472" right="0.70866141732283472" top="0.74803149606299213" bottom="0.74803149606299213" header="0.31496062992125984" footer="0.31496062992125984"/>
  <pageSetup paperSize="9" orientation="landscape" horizontalDpi="300" verticalDpi="300"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0B74F-C4A4-A749-ACF0-6B5333F43224}">
  <dimension ref="A1:AG53"/>
  <sheetViews>
    <sheetView zoomScale="70" zoomScaleNormal="70" workbookViewId="0">
      <selection activeCell="F45" sqref="F45"/>
    </sheetView>
  </sheetViews>
  <sheetFormatPr defaultColWidth="8.7109375" defaultRowHeight="15.75"/>
  <cols>
    <col min="1" max="1" width="16.7109375" style="213" customWidth="1"/>
    <col min="2" max="2" width="11.5703125" style="215" bestFit="1" customWidth="1"/>
    <col min="3" max="3" width="11.140625" style="213" bestFit="1" customWidth="1"/>
    <col min="4" max="4" width="8.7109375" style="213"/>
    <col min="5" max="5" width="25.7109375" style="214" bestFit="1" customWidth="1"/>
    <col min="6" max="6" width="10.7109375" style="213" bestFit="1" customWidth="1"/>
    <col min="7" max="9" width="8.7109375" style="213"/>
    <col min="10" max="10" width="8.42578125" style="213" customWidth="1"/>
    <col min="11" max="16384" width="8.7109375" style="213"/>
  </cols>
  <sheetData>
    <row r="1" spans="1:33" ht="21">
      <c r="A1" s="1060" t="s">
        <v>988</v>
      </c>
    </row>
    <row r="2" spans="1:33">
      <c r="J2" s="299"/>
      <c r="AE2" s="299"/>
      <c r="AF2" s="299"/>
      <c r="AG2" s="299"/>
    </row>
    <row r="3" spans="1:33" ht="16.5" thickBot="1">
      <c r="A3" s="450" t="s">
        <v>964</v>
      </c>
      <c r="B3" s="451" t="s">
        <v>989</v>
      </c>
      <c r="C3" s="451" t="s">
        <v>990</v>
      </c>
      <c r="E3" s="452"/>
      <c r="F3" s="453" t="str">
        <f>B3</f>
        <v>Call Type A</v>
      </c>
      <c r="G3" s="453" t="str">
        <f>C3</f>
        <v>Call type B</v>
      </c>
      <c r="H3" s="454" t="s">
        <v>991</v>
      </c>
      <c r="K3" s="1350" t="s">
        <v>992</v>
      </c>
      <c r="L3" s="1350"/>
      <c r="M3" s="1350"/>
      <c r="U3" s="215"/>
      <c r="AE3" s="299"/>
      <c r="AF3" s="299"/>
      <c r="AG3" s="299"/>
    </row>
    <row r="4" spans="1:33">
      <c r="A4" s="224">
        <v>1</v>
      </c>
      <c r="B4" s="455">
        <v>19.3</v>
      </c>
      <c r="C4" s="455">
        <v>20.59</v>
      </c>
      <c r="E4" s="456" t="s">
        <v>993</v>
      </c>
      <c r="F4" s="453">
        <f>COUNT(B:B)</f>
        <v>33</v>
      </c>
      <c r="G4" s="453">
        <f>COUNT(C:C)</f>
        <v>30</v>
      </c>
      <c r="H4" s="457"/>
      <c r="I4" s="299"/>
      <c r="K4" s="458" t="s">
        <v>731</v>
      </c>
      <c r="L4" s="459">
        <f>QUARTILE(B:B,1)</f>
        <v>20</v>
      </c>
      <c r="M4" s="459">
        <f>QUARTILE(C:C,1)</f>
        <v>20.407499999999999</v>
      </c>
      <c r="U4" s="215"/>
      <c r="AE4" s="299"/>
      <c r="AF4" s="299"/>
      <c r="AG4" s="299"/>
    </row>
    <row r="5" spans="1:33">
      <c r="A5" s="224">
        <v>2</v>
      </c>
      <c r="B5" s="455">
        <v>20.39</v>
      </c>
      <c r="C5" s="455">
        <v>27.15</v>
      </c>
      <c r="E5" s="456" t="s">
        <v>994</v>
      </c>
      <c r="F5" s="460">
        <f>AVERAGE(B:B)</f>
        <v>21.77181818181818</v>
      </c>
      <c r="G5" s="460">
        <f>AVERAGE(C:C)</f>
        <v>21.804666666666666</v>
      </c>
      <c r="H5" s="457"/>
      <c r="I5" s="299"/>
      <c r="K5" s="458" t="s">
        <v>656</v>
      </c>
      <c r="L5" s="459">
        <f>MIN(B:B)</f>
        <v>16.940000000000001</v>
      </c>
      <c r="M5" s="459">
        <f>MIN(C:C)</f>
        <v>16.57</v>
      </c>
      <c r="U5" s="215"/>
      <c r="AE5" s="299"/>
      <c r="AF5" s="299"/>
      <c r="AG5" s="299"/>
    </row>
    <row r="6" spans="1:33">
      <c r="A6" s="224">
        <v>3</v>
      </c>
      <c r="B6" s="455">
        <v>26.34</v>
      </c>
      <c r="C6" s="455">
        <v>21.7</v>
      </c>
      <c r="E6" s="456" t="s">
        <v>995</v>
      </c>
      <c r="F6" s="460">
        <f>_xlfn.STDEV.S(B:B)</f>
        <v>2.402151970818919</v>
      </c>
      <c r="G6" s="460">
        <f>_xlfn.STDEV.S(C:C)</f>
        <v>2.7889903417611168</v>
      </c>
      <c r="H6" s="457"/>
      <c r="I6" s="299"/>
      <c r="K6" s="458" t="s">
        <v>653</v>
      </c>
      <c r="L6" s="459">
        <f>MEDIAN(B:B)</f>
        <v>21.4</v>
      </c>
      <c r="M6" s="459">
        <f>MEDIAN(C:C)</f>
        <v>21.759999999999998</v>
      </c>
      <c r="U6" s="215"/>
      <c r="AE6" s="299"/>
      <c r="AF6" s="299"/>
      <c r="AG6" s="299"/>
    </row>
    <row r="7" spans="1:33">
      <c r="A7" s="224">
        <v>4</v>
      </c>
      <c r="B7" s="455">
        <v>23.23</v>
      </c>
      <c r="C7" s="455">
        <v>19</v>
      </c>
      <c r="E7" s="458" t="s">
        <v>996</v>
      </c>
      <c r="F7" s="461">
        <f>F6/SQRT(F4)</f>
        <v>0.41816098432951732</v>
      </c>
      <c r="G7" s="461">
        <f>G6/SQRT(G4)</f>
        <v>0.50919764094886877</v>
      </c>
      <c r="H7" s="457"/>
      <c r="I7" s="299"/>
      <c r="K7" s="458" t="s">
        <v>657</v>
      </c>
      <c r="L7" s="459">
        <f>MAX(B:B)</f>
        <v>26.34</v>
      </c>
      <c r="M7" s="459">
        <f>MAX(C:C)</f>
        <v>27.15</v>
      </c>
      <c r="S7" s="462"/>
      <c r="U7" s="215"/>
      <c r="AE7" s="299"/>
      <c r="AF7" s="299"/>
      <c r="AG7" s="299"/>
    </row>
    <row r="8" spans="1:33">
      <c r="A8" s="224">
        <v>5</v>
      </c>
      <c r="B8" s="455">
        <v>25.71</v>
      </c>
      <c r="C8" s="455">
        <v>21.75</v>
      </c>
      <c r="E8" s="458" t="s">
        <v>997</v>
      </c>
      <c r="H8" s="458">
        <v>0.05</v>
      </c>
      <c r="I8" s="299"/>
      <c r="K8" s="458" t="s">
        <v>732</v>
      </c>
      <c r="L8" s="459">
        <f>QUARTILE(B:B,3)</f>
        <v>23.67</v>
      </c>
      <c r="M8" s="459">
        <f>QUARTILE(C:C,3)</f>
        <v>23.177499999999998</v>
      </c>
      <c r="U8" s="215"/>
    </row>
    <row r="9" spans="1:33">
      <c r="A9" s="224">
        <v>6</v>
      </c>
      <c r="B9" s="455">
        <v>18.260000000000002</v>
      </c>
      <c r="C9" s="455">
        <v>22.48</v>
      </c>
      <c r="E9" s="458" t="s">
        <v>998</v>
      </c>
      <c r="H9" s="458">
        <v>2</v>
      </c>
      <c r="I9" s="299"/>
      <c r="U9" s="215"/>
    </row>
    <row r="10" spans="1:33">
      <c r="A10" s="224">
        <v>7</v>
      </c>
      <c r="B10" s="455">
        <v>21.18</v>
      </c>
      <c r="C10" s="455">
        <v>16.57</v>
      </c>
      <c r="E10" s="458" t="s">
        <v>957</v>
      </c>
      <c r="F10" s="463">
        <f>F4-1</f>
        <v>32</v>
      </c>
      <c r="G10" s="463">
        <f>G4-1</f>
        <v>29</v>
      </c>
      <c r="H10" s="463">
        <f>(F10+G10)-1</f>
        <v>60</v>
      </c>
      <c r="I10" s="299"/>
      <c r="U10" s="215"/>
    </row>
    <row r="11" spans="1:33">
      <c r="A11" s="224">
        <v>8</v>
      </c>
      <c r="B11" s="455">
        <v>21.4</v>
      </c>
      <c r="C11" s="455">
        <v>22.33</v>
      </c>
      <c r="E11" s="1000" t="s">
        <v>951</v>
      </c>
      <c r="F11" s="461">
        <f>_xlfn.VAR.S(B:B)</f>
        <v>5.7703340909092162</v>
      </c>
      <c r="G11" s="461">
        <f>_xlfn.VAR.S(C:C)</f>
        <v>7.7784671264367908</v>
      </c>
      <c r="H11" s="461">
        <f>_xlfn.VAR.S(B:C)</f>
        <v>6.6168257040453975</v>
      </c>
      <c r="I11" s="458"/>
      <c r="U11" s="215"/>
    </row>
    <row r="12" spans="1:33" ht="18">
      <c r="A12" s="224">
        <v>9</v>
      </c>
      <c r="B12" s="455">
        <v>20.39</v>
      </c>
      <c r="C12" s="455">
        <v>18.5</v>
      </c>
      <c r="E12" s="458" t="s">
        <v>999</v>
      </c>
      <c r="H12" s="464">
        <f>((F10*F11)+(G10*G11))/(F10+G10)</f>
        <v>6.7250202881272436</v>
      </c>
      <c r="I12" s="299"/>
      <c r="U12" s="215"/>
    </row>
    <row r="13" spans="1:33">
      <c r="A13" s="224">
        <v>10</v>
      </c>
      <c r="B13" s="455">
        <v>16.940000000000001</v>
      </c>
      <c r="C13" s="455">
        <v>25.7</v>
      </c>
      <c r="E13" s="458" t="s">
        <v>1000</v>
      </c>
      <c r="H13" s="464">
        <f>SQRT(H12)</f>
        <v>2.5932644076775597</v>
      </c>
      <c r="I13" s="299"/>
      <c r="U13" s="215"/>
    </row>
    <row r="14" spans="1:33">
      <c r="A14" s="224">
        <v>11</v>
      </c>
      <c r="B14" s="455">
        <v>22.57</v>
      </c>
      <c r="C14" s="455">
        <v>20.55</v>
      </c>
      <c r="E14" s="458" t="s">
        <v>1001</v>
      </c>
      <c r="H14" s="465">
        <f>((F5-G5)-(0))/(H13*SQRT((1/F4)+(1/G4)))</f>
        <v>-5.021296487267448E-2</v>
      </c>
      <c r="I14" s="299"/>
      <c r="U14" s="215"/>
    </row>
    <row r="15" spans="1:33">
      <c r="A15" s="224">
        <v>12</v>
      </c>
      <c r="B15" s="455">
        <v>22.84</v>
      </c>
      <c r="C15" s="455">
        <v>23.77</v>
      </c>
      <c r="E15" s="456" t="s">
        <v>1002</v>
      </c>
      <c r="H15" s="466">
        <f>IF($H$14&gt;=0, _xlfn.T.DIST.2T($H$14,$H$10), _xlfn.T.DIST.2T(-$H$14,$H$10))</f>
        <v>0.96011946810891602</v>
      </c>
      <c r="I15" s="299"/>
      <c r="U15" s="215"/>
    </row>
    <row r="16" spans="1:33">
      <c r="A16" s="224">
        <v>13</v>
      </c>
      <c r="B16" s="455">
        <v>21.84</v>
      </c>
      <c r="C16" s="455">
        <v>18.64</v>
      </c>
      <c r="E16" s="213"/>
      <c r="U16" s="215"/>
    </row>
    <row r="17" spans="1:21">
      <c r="A17" s="224">
        <v>14</v>
      </c>
      <c r="B17" s="455">
        <v>24.1</v>
      </c>
      <c r="C17" s="455">
        <v>17.75</v>
      </c>
      <c r="E17" s="973" t="s">
        <v>1003</v>
      </c>
      <c r="F17" s="974" t="str">
        <f>"The means of the samples are not statistically different"</f>
        <v>The means of the samples are not statistically different</v>
      </c>
      <c r="U17" s="215"/>
    </row>
    <row r="18" spans="1:21">
      <c r="A18" s="224">
        <v>15</v>
      </c>
      <c r="B18" s="455">
        <v>20</v>
      </c>
      <c r="C18" s="455">
        <v>24.8</v>
      </c>
      <c r="E18" s="973" t="s">
        <v>1004</v>
      </c>
      <c r="F18" s="974" t="s">
        <v>1005</v>
      </c>
      <c r="U18" s="215"/>
    </row>
    <row r="19" spans="1:21">
      <c r="A19" s="224">
        <v>16</v>
      </c>
      <c r="B19" s="455">
        <v>20.88</v>
      </c>
      <c r="C19" s="455">
        <v>21.77</v>
      </c>
      <c r="F19" s="213" t="s">
        <v>1006</v>
      </c>
      <c r="U19" s="215"/>
    </row>
    <row r="20" spans="1:21">
      <c r="A20" s="224">
        <v>17</v>
      </c>
      <c r="B20" s="455">
        <v>18.96</v>
      </c>
      <c r="C20" s="455">
        <v>20.84</v>
      </c>
      <c r="E20" s="456" t="s">
        <v>1007</v>
      </c>
      <c r="F20" s="463" t="str">
        <f>IF(H15&lt;H8,"Yes, we reject the null hypothesis","No, we fail to reject the null hypothesis")</f>
        <v>No, we fail to reject the null hypothesis</v>
      </c>
      <c r="U20" s="215"/>
    </row>
    <row r="21" spans="1:21">
      <c r="A21" s="224">
        <v>18</v>
      </c>
      <c r="B21" s="455">
        <v>25.07</v>
      </c>
      <c r="C21" s="455">
        <v>21.97</v>
      </c>
      <c r="U21" s="215"/>
    </row>
    <row r="22" spans="1:21">
      <c r="A22" s="224">
        <v>19</v>
      </c>
      <c r="B22" s="455">
        <v>19.54</v>
      </c>
      <c r="C22" s="455">
        <v>21.65</v>
      </c>
      <c r="E22" s="458"/>
      <c r="U22" s="215"/>
    </row>
    <row r="23" spans="1:21">
      <c r="A23" s="224">
        <v>20</v>
      </c>
      <c r="B23" s="455">
        <v>24.76</v>
      </c>
      <c r="C23" s="455">
        <v>26.98</v>
      </c>
      <c r="E23" s="458"/>
      <c r="U23" s="215"/>
    </row>
    <row r="24" spans="1:21">
      <c r="A24" s="224">
        <v>21</v>
      </c>
      <c r="B24" s="455">
        <v>18.989999999999998</v>
      </c>
      <c r="C24" s="455">
        <v>25.86</v>
      </c>
      <c r="U24" s="215"/>
    </row>
    <row r="25" spans="1:21">
      <c r="A25" s="224">
        <v>22</v>
      </c>
      <c r="B25" s="455">
        <v>20.64</v>
      </c>
      <c r="C25" s="455">
        <v>25.6</v>
      </c>
      <c r="U25" s="215"/>
    </row>
    <row r="26" spans="1:21">
      <c r="A26" s="224">
        <v>23</v>
      </c>
      <c r="B26" s="455">
        <v>23.72</v>
      </c>
      <c r="C26" s="455">
        <v>20.36</v>
      </c>
      <c r="U26" s="215"/>
    </row>
    <row r="27" spans="1:21">
      <c r="A27" s="224">
        <v>24</v>
      </c>
      <c r="B27" s="455">
        <v>23.67</v>
      </c>
      <c r="C27" s="455">
        <v>18.96</v>
      </c>
      <c r="U27" s="215"/>
    </row>
    <row r="28" spans="1:21">
      <c r="A28" s="224">
        <v>25</v>
      </c>
      <c r="B28" s="455">
        <v>22.58</v>
      </c>
      <c r="C28" s="455">
        <v>21.86</v>
      </c>
      <c r="U28" s="215"/>
    </row>
    <row r="29" spans="1:21">
      <c r="A29" s="224">
        <v>26</v>
      </c>
      <c r="B29" s="455">
        <v>19.77</v>
      </c>
      <c r="C29" s="455">
        <v>20.71</v>
      </c>
      <c r="U29" s="215"/>
    </row>
    <row r="30" spans="1:21">
      <c r="A30" s="224">
        <v>27</v>
      </c>
      <c r="B30" s="455">
        <v>26.26</v>
      </c>
      <c r="C30" s="455">
        <v>22.84</v>
      </c>
      <c r="U30" s="215"/>
    </row>
    <row r="31" spans="1:21">
      <c r="A31" s="224">
        <v>28</v>
      </c>
      <c r="B31" s="455">
        <v>21.61</v>
      </c>
      <c r="C31" s="455">
        <v>22.67</v>
      </c>
      <c r="U31" s="215"/>
    </row>
    <row r="32" spans="1:21">
      <c r="A32" s="224">
        <v>29</v>
      </c>
      <c r="B32" s="455">
        <v>19.11</v>
      </c>
      <c r="C32" s="455">
        <v>23.29</v>
      </c>
      <c r="U32" s="215"/>
    </row>
    <row r="33" spans="1:21">
      <c r="A33" s="224">
        <v>30</v>
      </c>
      <c r="B33" s="455">
        <v>22.8</v>
      </c>
      <c r="C33" s="455">
        <v>17.5</v>
      </c>
      <c r="U33" s="215"/>
    </row>
    <row r="34" spans="1:21">
      <c r="A34" s="224">
        <v>31</v>
      </c>
      <c r="B34" s="455">
        <v>23.93</v>
      </c>
      <c r="C34" s="455"/>
      <c r="U34" s="215"/>
    </row>
    <row r="35" spans="1:21">
      <c r="A35" s="224">
        <v>32</v>
      </c>
      <c r="B35" s="455">
        <v>21.32</v>
      </c>
      <c r="C35" s="455"/>
      <c r="U35" s="215"/>
    </row>
    <row r="36" spans="1:21">
      <c r="A36" s="224">
        <v>33</v>
      </c>
      <c r="B36" s="455">
        <v>20.37</v>
      </c>
      <c r="C36" s="455"/>
      <c r="U36" s="215"/>
    </row>
    <row r="37" spans="1:21">
      <c r="A37" s="224">
        <v>34</v>
      </c>
      <c r="B37" s="455"/>
      <c r="C37" s="455"/>
      <c r="U37" s="215"/>
    </row>
    <row r="38" spans="1:21">
      <c r="A38" s="224">
        <v>35</v>
      </c>
      <c r="B38" s="455"/>
      <c r="C38" s="455"/>
      <c r="U38" s="215"/>
    </row>
    <row r="39" spans="1:21">
      <c r="A39" s="224">
        <v>36</v>
      </c>
      <c r="B39" s="455"/>
      <c r="C39" s="455"/>
      <c r="U39" s="215"/>
    </row>
    <row r="40" spans="1:21">
      <c r="A40" s="224">
        <v>37</v>
      </c>
      <c r="B40" s="455"/>
      <c r="C40" s="455"/>
      <c r="U40" s="215"/>
    </row>
    <row r="41" spans="1:21">
      <c r="A41" s="224">
        <v>38</v>
      </c>
      <c r="B41" s="455"/>
      <c r="C41" s="455"/>
      <c r="U41" s="215"/>
    </row>
    <row r="42" spans="1:21">
      <c r="A42" s="224">
        <v>39</v>
      </c>
      <c r="B42" s="455"/>
      <c r="C42" s="455"/>
    </row>
    <row r="43" spans="1:21">
      <c r="A43" s="224">
        <v>40</v>
      </c>
      <c r="B43" s="455"/>
      <c r="C43" s="455"/>
    </row>
    <row r="44" spans="1:21">
      <c r="A44" s="224">
        <v>41</v>
      </c>
      <c r="B44" s="455"/>
      <c r="C44" s="455"/>
    </row>
    <row r="45" spans="1:21">
      <c r="A45" s="224">
        <v>42</v>
      </c>
      <c r="B45" s="455"/>
      <c r="C45" s="455"/>
    </row>
    <row r="46" spans="1:21">
      <c r="A46" s="224">
        <v>43</v>
      </c>
      <c r="B46" s="455"/>
      <c r="C46" s="455"/>
    </row>
    <row r="47" spans="1:21">
      <c r="A47" s="224">
        <v>44</v>
      </c>
      <c r="B47" s="455"/>
      <c r="C47" s="455"/>
    </row>
    <row r="48" spans="1:21">
      <c r="A48" s="224">
        <v>45</v>
      </c>
      <c r="B48" s="455"/>
      <c r="C48" s="455"/>
    </row>
    <row r="49" spans="1:3">
      <c r="A49" s="224">
        <v>46</v>
      </c>
      <c r="B49" s="455"/>
      <c r="C49" s="455"/>
    </row>
    <row r="50" spans="1:3">
      <c r="A50" s="224">
        <v>47</v>
      </c>
      <c r="B50" s="455"/>
      <c r="C50" s="455"/>
    </row>
    <row r="51" spans="1:3">
      <c r="A51" s="224">
        <v>48</v>
      </c>
      <c r="B51" s="455"/>
      <c r="C51" s="455"/>
    </row>
    <row r="52" spans="1:3">
      <c r="A52" s="224">
        <v>49</v>
      </c>
      <c r="B52" s="455"/>
      <c r="C52" s="455"/>
    </row>
    <row r="53" spans="1:3">
      <c r="A53" s="224">
        <v>50</v>
      </c>
      <c r="B53" s="455"/>
      <c r="C53" s="455"/>
    </row>
  </sheetData>
  <mergeCells count="1">
    <mergeCell ref="K3:M3"/>
  </mergeCells>
  <pageMargins left="0.70866141732283472" right="0.70866141732283472" top="0.74803149606299213" bottom="0.74803149606299213" header="0.31496062992125984" footer="0.31496062992125984"/>
  <pageSetup paperSize="9" orientation="landscape"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B42C9-7BA2-5E4B-B671-6E403CCF6454}">
  <dimension ref="A1:U499"/>
  <sheetViews>
    <sheetView zoomScaleNormal="100" workbookViewId="0"/>
  </sheetViews>
  <sheetFormatPr defaultColWidth="8.7109375" defaultRowHeight="15"/>
  <cols>
    <col min="1" max="1" width="12.28515625" style="90" bestFit="1" customWidth="1"/>
    <col min="2" max="2" width="12.28515625" style="90" customWidth="1"/>
    <col min="3" max="3" width="10.28515625" style="90" customWidth="1"/>
    <col min="4" max="4" width="8.7109375" style="91"/>
    <col min="5" max="5" width="10.28515625" style="91" customWidth="1"/>
    <col min="6" max="16384" width="8.7109375" style="91"/>
  </cols>
  <sheetData>
    <row r="1" spans="1:21" ht="21">
      <c r="A1" s="1060" t="s">
        <v>1008</v>
      </c>
    </row>
    <row r="3" spans="1:21" ht="30">
      <c r="A3" s="469" t="s">
        <v>1009</v>
      </c>
      <c r="B3" s="469" t="s">
        <v>1010</v>
      </c>
      <c r="C3" s="92"/>
      <c r="E3" s="93"/>
      <c r="F3" s="94"/>
      <c r="G3" s="94"/>
      <c r="H3" s="94"/>
      <c r="I3" s="94"/>
      <c r="J3" s="94"/>
      <c r="K3" s="94"/>
      <c r="L3" s="94"/>
      <c r="M3" s="94"/>
      <c r="N3" s="94"/>
      <c r="O3" s="94"/>
      <c r="P3" s="94"/>
      <c r="Q3" s="94"/>
      <c r="R3" s="94"/>
      <c r="S3" s="94"/>
      <c r="T3" s="94"/>
      <c r="U3" s="95"/>
    </row>
    <row r="4" spans="1:21">
      <c r="A4" s="467">
        <v>52</v>
      </c>
      <c r="B4" s="467">
        <v>9</v>
      </c>
      <c r="E4" s="93"/>
      <c r="F4" s="94"/>
      <c r="G4" s="94"/>
      <c r="H4" s="94"/>
      <c r="I4" s="94"/>
      <c r="J4" s="94"/>
      <c r="K4" s="94"/>
      <c r="L4" s="94"/>
      <c r="M4" s="94"/>
      <c r="N4" s="94"/>
      <c r="O4" s="94"/>
      <c r="P4" s="94"/>
      <c r="Q4" s="94"/>
      <c r="R4" s="94"/>
      <c r="S4" s="94"/>
      <c r="T4" s="94"/>
      <c r="U4" s="95"/>
    </row>
    <row r="5" spans="1:21">
      <c r="A5" s="467">
        <v>64</v>
      </c>
      <c r="B5" s="467">
        <v>20</v>
      </c>
    </row>
    <row r="6" spans="1:21">
      <c r="A6" s="467">
        <v>49</v>
      </c>
      <c r="B6" s="467">
        <v>13</v>
      </c>
    </row>
    <row r="7" spans="1:21">
      <c r="A7" s="467">
        <v>30</v>
      </c>
      <c r="B7" s="467">
        <v>11</v>
      </c>
    </row>
    <row r="8" spans="1:21">
      <c r="A8" s="467">
        <v>26</v>
      </c>
      <c r="B8" s="467">
        <v>15</v>
      </c>
    </row>
    <row r="9" spans="1:21">
      <c r="A9" s="467">
        <v>62</v>
      </c>
      <c r="B9" s="467">
        <v>14</v>
      </c>
    </row>
    <row r="10" spans="1:21">
      <c r="A10" s="467">
        <v>44</v>
      </c>
      <c r="B10" s="467">
        <v>15</v>
      </c>
    </row>
    <row r="11" spans="1:21">
      <c r="A11" s="467">
        <v>31</v>
      </c>
      <c r="B11" s="467">
        <v>13</v>
      </c>
      <c r="E11" s="999"/>
    </row>
    <row r="12" spans="1:21">
      <c r="A12" s="467">
        <v>64</v>
      </c>
      <c r="B12" s="467">
        <v>13</v>
      </c>
    </row>
    <row r="13" spans="1:21">
      <c r="A13" s="467">
        <v>65</v>
      </c>
      <c r="B13" s="467">
        <v>21</v>
      </c>
    </row>
    <row r="14" spans="1:21">
      <c r="A14" s="467">
        <v>67</v>
      </c>
      <c r="B14" s="467">
        <v>23</v>
      </c>
    </row>
    <row r="15" spans="1:21">
      <c r="A15" s="467">
        <v>71</v>
      </c>
      <c r="B15" s="467">
        <v>17</v>
      </c>
    </row>
    <row r="16" spans="1:21">
      <c r="A16" s="467">
        <v>65</v>
      </c>
      <c r="B16" s="467">
        <v>14</v>
      </c>
    </row>
    <row r="17" spans="1:13">
      <c r="A17" s="467">
        <v>66</v>
      </c>
      <c r="B17" s="467">
        <v>16</v>
      </c>
    </row>
    <row r="18" spans="1:13">
      <c r="A18" s="467">
        <v>25</v>
      </c>
      <c r="B18" s="467">
        <v>16</v>
      </c>
      <c r="D18" s="99" t="s">
        <v>938</v>
      </c>
      <c r="E18" s="91" t="s">
        <v>1011</v>
      </c>
      <c r="I18" s="96"/>
      <c r="K18" s="96"/>
      <c r="L18" s="97" t="s">
        <v>1012</v>
      </c>
      <c r="M18" s="98">
        <f>CORREL(A:A,B:B)</f>
        <v>9.8886789585764065E-2</v>
      </c>
    </row>
    <row r="19" spans="1:13">
      <c r="A19" s="467">
        <v>30</v>
      </c>
      <c r="B19" s="467">
        <v>14</v>
      </c>
      <c r="D19" s="99" t="s">
        <v>940</v>
      </c>
      <c r="E19" s="91" t="s">
        <v>1013</v>
      </c>
      <c r="L19" s="91" t="s">
        <v>1014</v>
      </c>
      <c r="M19" s="91">
        <v>0.05</v>
      </c>
    </row>
    <row r="20" spans="1:13">
      <c r="A20" s="467">
        <v>24</v>
      </c>
      <c r="B20" s="467">
        <v>17</v>
      </c>
      <c r="E20" s="91" t="s">
        <v>958</v>
      </c>
      <c r="L20" s="96" t="s">
        <v>960</v>
      </c>
      <c r="M20" s="100">
        <f>_xlfn.T.DIST.2T(M18, COUNT(A:B)-2)</f>
        <v>0.92124817633580258</v>
      </c>
    </row>
    <row r="21" spans="1:13">
      <c r="A21" s="467">
        <v>29</v>
      </c>
      <c r="B21" s="467">
        <v>12</v>
      </c>
    </row>
    <row r="22" spans="1:13">
      <c r="A22" s="467">
        <v>45</v>
      </c>
      <c r="B22" s="467">
        <v>12</v>
      </c>
    </row>
    <row r="23" spans="1:13">
      <c r="A23" s="467">
        <v>54</v>
      </c>
      <c r="B23" s="467">
        <v>17</v>
      </c>
    </row>
    <row r="24" spans="1:13">
      <c r="A24" s="467">
        <v>59</v>
      </c>
      <c r="B24" s="467">
        <v>18</v>
      </c>
    </row>
    <row r="25" spans="1:13">
      <c r="A25" s="467">
        <v>60</v>
      </c>
      <c r="B25" s="467">
        <v>11</v>
      </c>
    </row>
    <row r="26" spans="1:13">
      <c r="A26" s="467">
        <v>34</v>
      </c>
      <c r="B26" s="467">
        <v>21</v>
      </c>
    </row>
    <row r="27" spans="1:13">
      <c r="A27" s="467">
        <v>65</v>
      </c>
      <c r="B27" s="467">
        <v>11</v>
      </c>
    </row>
    <row r="28" spans="1:13">
      <c r="A28" s="467">
        <v>69</v>
      </c>
      <c r="B28" s="467">
        <v>20</v>
      </c>
    </row>
    <row r="29" spans="1:13">
      <c r="A29" s="467">
        <v>81</v>
      </c>
      <c r="B29" s="467">
        <v>18</v>
      </c>
    </row>
    <row r="30" spans="1:13">
      <c r="A30" s="467">
        <v>63</v>
      </c>
      <c r="B30" s="467">
        <v>28</v>
      </c>
    </row>
    <row r="31" spans="1:13">
      <c r="A31" s="467">
        <v>55</v>
      </c>
      <c r="B31" s="467">
        <v>23</v>
      </c>
    </row>
    <row r="32" spans="1:13">
      <c r="A32" s="467">
        <v>41</v>
      </c>
      <c r="B32" s="467">
        <v>16</v>
      </c>
    </row>
    <row r="33" spans="1:2" s="90" customFormat="1">
      <c r="A33" s="467">
        <v>72</v>
      </c>
      <c r="B33" s="467">
        <v>17</v>
      </c>
    </row>
    <row r="34" spans="1:2" s="90" customFormat="1">
      <c r="A34" s="468">
        <v>75</v>
      </c>
      <c r="B34" s="468">
        <v>10</v>
      </c>
    </row>
    <row r="35" spans="1:2" s="90" customFormat="1">
      <c r="A35" s="468">
        <v>49</v>
      </c>
      <c r="B35" s="468">
        <v>11</v>
      </c>
    </row>
    <row r="36" spans="1:2" s="90" customFormat="1">
      <c r="A36" s="468">
        <v>58</v>
      </c>
      <c r="B36" s="468">
        <v>13</v>
      </c>
    </row>
    <row r="37" spans="1:2" s="90" customFormat="1">
      <c r="A37" s="468">
        <v>62</v>
      </c>
      <c r="B37" s="468">
        <v>9</v>
      </c>
    </row>
    <row r="38" spans="1:2" s="90" customFormat="1">
      <c r="A38" s="468">
        <v>83</v>
      </c>
      <c r="B38" s="468">
        <v>11</v>
      </c>
    </row>
    <row r="39" spans="1:2" s="90" customFormat="1">
      <c r="A39" s="468">
        <v>55</v>
      </c>
      <c r="B39" s="468">
        <v>10</v>
      </c>
    </row>
    <row r="40" spans="1:2" s="90" customFormat="1">
      <c r="A40" s="468">
        <v>67</v>
      </c>
      <c r="B40" s="468">
        <v>16</v>
      </c>
    </row>
    <row r="41" spans="1:2" s="90" customFormat="1">
      <c r="A41" s="468">
        <v>88</v>
      </c>
      <c r="B41" s="468">
        <v>22</v>
      </c>
    </row>
    <row r="42" spans="1:2" s="90" customFormat="1">
      <c r="A42" s="468">
        <v>34</v>
      </c>
      <c r="B42" s="468">
        <v>10</v>
      </c>
    </row>
    <row r="43" spans="1:2" s="90" customFormat="1">
      <c r="A43" s="468">
        <v>65</v>
      </c>
      <c r="B43" s="468">
        <v>9</v>
      </c>
    </row>
    <row r="44" spans="1:2" s="90" customFormat="1">
      <c r="A44" s="468">
        <v>84</v>
      </c>
      <c r="B44" s="468">
        <v>14</v>
      </c>
    </row>
    <row r="45" spans="1:2" s="90" customFormat="1">
      <c r="A45" s="468">
        <v>68</v>
      </c>
      <c r="B45" s="468">
        <v>11</v>
      </c>
    </row>
    <row r="46" spans="1:2" s="90" customFormat="1">
      <c r="A46" s="468">
        <v>71</v>
      </c>
      <c r="B46" s="468">
        <v>14</v>
      </c>
    </row>
    <row r="47" spans="1:2" s="90" customFormat="1">
      <c r="A47" s="468">
        <v>67</v>
      </c>
      <c r="B47" s="468">
        <v>14</v>
      </c>
    </row>
    <row r="48" spans="1:2" s="90" customFormat="1">
      <c r="A48" s="468">
        <v>44</v>
      </c>
      <c r="B48" s="468">
        <v>13</v>
      </c>
    </row>
    <row r="49" spans="1:2" s="90" customFormat="1">
      <c r="A49" s="468">
        <v>57</v>
      </c>
      <c r="B49" s="468">
        <v>18</v>
      </c>
    </row>
    <row r="50" spans="1:2" s="90" customFormat="1">
      <c r="A50" s="468">
        <v>84</v>
      </c>
      <c r="B50" s="468">
        <v>12</v>
      </c>
    </row>
    <row r="51" spans="1:2" s="90" customFormat="1">
      <c r="A51" s="468">
        <v>6</v>
      </c>
      <c r="B51" s="468">
        <v>14</v>
      </c>
    </row>
    <row r="52" spans="1:2" s="90" customFormat="1">
      <c r="A52" s="468">
        <v>36</v>
      </c>
      <c r="B52" s="468">
        <v>11</v>
      </c>
    </row>
    <row r="53" spans="1:2" s="90" customFormat="1">
      <c r="A53" s="468">
        <v>36</v>
      </c>
      <c r="B53" s="468">
        <v>17</v>
      </c>
    </row>
    <row r="54" spans="1:2" s="90" customFormat="1">
      <c r="A54" s="468">
        <v>37</v>
      </c>
      <c r="B54" s="468">
        <v>11</v>
      </c>
    </row>
    <row r="55" spans="1:2" s="90" customFormat="1">
      <c r="A55" s="468">
        <v>52</v>
      </c>
      <c r="B55" s="468">
        <v>9</v>
      </c>
    </row>
    <row r="56" spans="1:2" s="90" customFormat="1">
      <c r="A56" s="468">
        <v>55</v>
      </c>
      <c r="B56" s="468">
        <v>9</v>
      </c>
    </row>
    <row r="57" spans="1:2" s="90" customFormat="1">
      <c r="A57" s="468">
        <v>19</v>
      </c>
      <c r="B57" s="468">
        <v>11</v>
      </c>
    </row>
    <row r="58" spans="1:2" s="90" customFormat="1">
      <c r="A58" s="468">
        <v>54</v>
      </c>
      <c r="B58" s="468">
        <v>15</v>
      </c>
    </row>
    <row r="59" spans="1:2" s="90" customFormat="1">
      <c r="A59" s="468">
        <v>59</v>
      </c>
      <c r="B59" s="468">
        <v>19</v>
      </c>
    </row>
    <row r="60" spans="1:2" s="90" customFormat="1">
      <c r="A60" s="468">
        <v>25</v>
      </c>
      <c r="B60" s="468">
        <v>15</v>
      </c>
    </row>
    <row r="61" spans="1:2" s="90" customFormat="1">
      <c r="A61" s="468">
        <v>40</v>
      </c>
      <c r="B61" s="468">
        <v>13</v>
      </c>
    </row>
    <row r="62" spans="1:2" s="90" customFormat="1">
      <c r="A62" s="468">
        <v>27</v>
      </c>
      <c r="B62" s="468">
        <v>14</v>
      </c>
    </row>
    <row r="63" spans="1:2" s="90" customFormat="1">
      <c r="A63" s="468">
        <v>16</v>
      </c>
      <c r="B63" s="468">
        <v>10</v>
      </c>
    </row>
    <row r="64" spans="1:2" s="90" customFormat="1">
      <c r="A64" s="468">
        <v>20</v>
      </c>
      <c r="B64" s="468">
        <v>13</v>
      </c>
    </row>
    <row r="65" spans="1:2" s="90" customFormat="1">
      <c r="A65" s="468">
        <v>91</v>
      </c>
      <c r="B65" s="468">
        <v>9</v>
      </c>
    </row>
    <row r="66" spans="1:2" s="90" customFormat="1">
      <c r="A66" s="468">
        <v>39</v>
      </c>
      <c r="B66" s="468">
        <v>9</v>
      </c>
    </row>
    <row r="67" spans="1:2" s="90" customFormat="1">
      <c r="A67" s="468">
        <v>36</v>
      </c>
      <c r="B67" s="468">
        <v>13</v>
      </c>
    </row>
    <row r="68" spans="1:2" s="90" customFormat="1">
      <c r="A68" s="468">
        <v>25</v>
      </c>
      <c r="B68" s="468">
        <v>12</v>
      </c>
    </row>
    <row r="69" spans="1:2" s="90" customFormat="1">
      <c r="A69" s="468">
        <v>29</v>
      </c>
      <c r="B69" s="468">
        <v>11</v>
      </c>
    </row>
    <row r="70" spans="1:2" s="90" customFormat="1">
      <c r="A70" s="468">
        <v>67</v>
      </c>
      <c r="B70" s="468">
        <v>18</v>
      </c>
    </row>
    <row r="71" spans="1:2" s="90" customFormat="1">
      <c r="A71" s="468">
        <v>46</v>
      </c>
      <c r="B71" s="468">
        <v>10</v>
      </c>
    </row>
    <row r="72" spans="1:2" s="90" customFormat="1">
      <c r="A72" s="468">
        <v>65</v>
      </c>
      <c r="B72" s="468">
        <v>13</v>
      </c>
    </row>
    <row r="73" spans="1:2" s="90" customFormat="1">
      <c r="A73" s="468">
        <v>25</v>
      </c>
      <c r="B73" s="468">
        <v>13</v>
      </c>
    </row>
    <row r="74" spans="1:2" s="90" customFormat="1">
      <c r="A74" s="468">
        <v>66</v>
      </c>
      <c r="B74" s="468">
        <v>17</v>
      </c>
    </row>
    <row r="75" spans="1:2" s="90" customFormat="1">
      <c r="A75" s="468">
        <v>41</v>
      </c>
      <c r="B75" s="468">
        <v>14</v>
      </c>
    </row>
    <row r="76" spans="1:2" s="90" customFormat="1">
      <c r="A76" s="468">
        <v>26</v>
      </c>
      <c r="B76" s="468">
        <v>17</v>
      </c>
    </row>
    <row r="77" spans="1:2" s="90" customFormat="1">
      <c r="A77" s="468">
        <v>13</v>
      </c>
      <c r="B77" s="468">
        <v>14</v>
      </c>
    </row>
    <row r="78" spans="1:2" s="90" customFormat="1">
      <c r="A78" s="468">
        <v>81</v>
      </c>
      <c r="B78" s="468">
        <v>16</v>
      </c>
    </row>
    <row r="79" spans="1:2" s="90" customFormat="1">
      <c r="A79" s="468">
        <v>61</v>
      </c>
      <c r="B79" s="468">
        <v>14</v>
      </c>
    </row>
    <row r="80" spans="1:2" s="90" customFormat="1">
      <c r="A80" s="468">
        <v>43</v>
      </c>
      <c r="B80" s="468">
        <v>19</v>
      </c>
    </row>
    <row r="81" spans="1:2" s="90" customFormat="1">
      <c r="A81" s="468">
        <v>19</v>
      </c>
      <c r="B81" s="468">
        <v>17</v>
      </c>
    </row>
    <row r="82" spans="1:2" s="90" customFormat="1">
      <c r="A82" s="468">
        <v>37</v>
      </c>
      <c r="B82" s="468">
        <v>16</v>
      </c>
    </row>
    <row r="83" spans="1:2" s="90" customFormat="1">
      <c r="A83" s="468">
        <v>46</v>
      </c>
      <c r="B83" s="468">
        <v>13</v>
      </c>
    </row>
    <row r="84" spans="1:2" s="90" customFormat="1">
      <c r="A84" s="468">
        <v>80</v>
      </c>
      <c r="B84" s="468">
        <v>18</v>
      </c>
    </row>
    <row r="85" spans="1:2" s="90" customFormat="1">
      <c r="A85" s="468">
        <v>32</v>
      </c>
      <c r="B85" s="468">
        <v>18</v>
      </c>
    </row>
    <row r="86" spans="1:2" s="90" customFormat="1">
      <c r="A86" s="468">
        <v>45</v>
      </c>
      <c r="B86" s="468">
        <v>14</v>
      </c>
    </row>
    <row r="87" spans="1:2" s="90" customFormat="1">
      <c r="A87" s="468">
        <v>36</v>
      </c>
      <c r="B87" s="468">
        <v>13</v>
      </c>
    </row>
    <row r="88" spans="1:2" s="90" customFormat="1">
      <c r="A88" s="468">
        <v>15</v>
      </c>
      <c r="B88" s="468">
        <v>19</v>
      </c>
    </row>
    <row r="89" spans="1:2" s="90" customFormat="1">
      <c r="A89" s="468">
        <v>71</v>
      </c>
      <c r="B89" s="468">
        <v>12</v>
      </c>
    </row>
    <row r="90" spans="1:2" s="90" customFormat="1">
      <c r="A90" s="468">
        <v>82</v>
      </c>
      <c r="B90" s="468">
        <v>27</v>
      </c>
    </row>
    <row r="91" spans="1:2" s="90" customFormat="1">
      <c r="A91" s="468">
        <v>24</v>
      </c>
      <c r="B91" s="468">
        <v>10</v>
      </c>
    </row>
    <row r="92" spans="1:2" s="90" customFormat="1">
      <c r="A92" s="468">
        <v>78</v>
      </c>
      <c r="B92" s="468">
        <v>13</v>
      </c>
    </row>
    <row r="93" spans="1:2" s="90" customFormat="1">
      <c r="A93" s="468">
        <v>67</v>
      </c>
      <c r="B93" s="468">
        <v>24</v>
      </c>
    </row>
    <row r="94" spans="1:2" s="90" customFormat="1">
      <c r="A94" s="468">
        <v>40</v>
      </c>
      <c r="B94" s="468">
        <v>18</v>
      </c>
    </row>
    <row r="95" spans="1:2" s="90" customFormat="1">
      <c r="A95" s="468">
        <v>49</v>
      </c>
      <c r="B95" s="468">
        <v>12</v>
      </c>
    </row>
    <row r="96" spans="1:2" s="90" customFormat="1">
      <c r="A96" s="468">
        <v>36</v>
      </c>
      <c r="B96" s="468">
        <v>26</v>
      </c>
    </row>
    <row r="97" spans="1:2" s="90" customFormat="1">
      <c r="A97" s="468">
        <v>91</v>
      </c>
      <c r="B97" s="468">
        <v>13</v>
      </c>
    </row>
    <row r="98" spans="1:2" s="90" customFormat="1">
      <c r="A98" s="468">
        <v>55</v>
      </c>
      <c r="B98" s="468">
        <v>17</v>
      </c>
    </row>
    <row r="99" spans="1:2" s="90" customFormat="1">
      <c r="A99" s="468">
        <v>39</v>
      </c>
      <c r="B99" s="468">
        <v>19</v>
      </c>
    </row>
    <row r="100" spans="1:2" s="90" customFormat="1">
      <c r="A100" s="468">
        <v>27</v>
      </c>
      <c r="B100" s="468">
        <v>13</v>
      </c>
    </row>
    <row r="101" spans="1:2" s="90" customFormat="1">
      <c r="A101" s="468">
        <v>82</v>
      </c>
      <c r="B101" s="468">
        <v>17</v>
      </c>
    </row>
    <row r="102" spans="1:2" s="90" customFormat="1">
      <c r="A102" s="468">
        <v>74</v>
      </c>
      <c r="B102" s="468">
        <v>23</v>
      </c>
    </row>
    <row r="103" spans="1:2" s="90" customFormat="1">
      <c r="A103" s="468">
        <v>65</v>
      </c>
      <c r="B103" s="468">
        <v>19</v>
      </c>
    </row>
    <row r="104" spans="1:2" s="90" customFormat="1">
      <c r="A104" s="468">
        <v>94</v>
      </c>
      <c r="B104" s="468">
        <v>10</v>
      </c>
    </row>
    <row r="105" spans="1:2" s="90" customFormat="1">
      <c r="A105" s="468">
        <v>25</v>
      </c>
      <c r="B105" s="468">
        <v>17</v>
      </c>
    </row>
    <row r="106" spans="1:2" s="90" customFormat="1">
      <c r="A106" s="468">
        <v>41</v>
      </c>
      <c r="B106" s="468">
        <v>15</v>
      </c>
    </row>
    <row r="107" spans="1:2" s="90" customFormat="1">
      <c r="A107" s="468">
        <v>72</v>
      </c>
      <c r="B107" s="468">
        <v>17</v>
      </c>
    </row>
    <row r="108" spans="1:2" s="90" customFormat="1">
      <c r="A108" s="468">
        <v>53</v>
      </c>
      <c r="B108" s="468">
        <v>10</v>
      </c>
    </row>
    <row r="109" spans="1:2" s="90" customFormat="1">
      <c r="A109" s="468">
        <v>39</v>
      </c>
      <c r="B109" s="468">
        <v>21</v>
      </c>
    </row>
    <row r="110" spans="1:2" s="90" customFormat="1">
      <c r="A110" s="468">
        <v>10</v>
      </c>
      <c r="B110" s="468">
        <v>15</v>
      </c>
    </row>
    <row r="111" spans="1:2" s="90" customFormat="1">
      <c r="A111" s="468">
        <v>81</v>
      </c>
      <c r="B111" s="468">
        <v>29</v>
      </c>
    </row>
    <row r="112" spans="1:2" s="90" customFormat="1">
      <c r="A112" s="468">
        <v>25</v>
      </c>
      <c r="B112" s="468">
        <v>18</v>
      </c>
    </row>
    <row r="113" spans="1:2" s="90" customFormat="1">
      <c r="A113" s="468">
        <v>19</v>
      </c>
      <c r="B113" s="468">
        <v>17</v>
      </c>
    </row>
    <row r="114" spans="1:2" s="90" customFormat="1">
      <c r="A114" s="468">
        <v>40</v>
      </c>
      <c r="B114" s="468">
        <v>17</v>
      </c>
    </row>
    <row r="115" spans="1:2" s="90" customFormat="1">
      <c r="A115" s="468">
        <v>65</v>
      </c>
      <c r="B115" s="468">
        <v>23</v>
      </c>
    </row>
    <row r="116" spans="1:2" s="90" customFormat="1">
      <c r="A116" s="468">
        <v>72</v>
      </c>
      <c r="B116" s="468">
        <v>16</v>
      </c>
    </row>
    <row r="117" spans="1:2" s="90" customFormat="1">
      <c r="A117" s="468">
        <v>28</v>
      </c>
      <c r="B117" s="468">
        <v>11</v>
      </c>
    </row>
    <row r="118" spans="1:2" s="90" customFormat="1">
      <c r="A118" s="468">
        <v>57</v>
      </c>
      <c r="B118" s="468">
        <v>18</v>
      </c>
    </row>
    <row r="119" spans="1:2" s="90" customFormat="1">
      <c r="A119" s="468">
        <v>46</v>
      </c>
      <c r="B119" s="468">
        <v>19</v>
      </c>
    </row>
    <row r="120" spans="1:2" s="90" customFormat="1">
      <c r="A120" s="468">
        <v>55</v>
      </c>
      <c r="B120" s="468">
        <v>16</v>
      </c>
    </row>
    <row r="121" spans="1:2" s="90" customFormat="1">
      <c r="A121" s="468">
        <v>76</v>
      </c>
      <c r="B121" s="468">
        <v>11</v>
      </c>
    </row>
    <row r="122" spans="1:2" s="90" customFormat="1">
      <c r="A122" s="468">
        <v>35</v>
      </c>
      <c r="B122" s="468">
        <v>14</v>
      </c>
    </row>
    <row r="123" spans="1:2" s="90" customFormat="1">
      <c r="A123" s="468">
        <v>41</v>
      </c>
      <c r="B123" s="468">
        <v>14</v>
      </c>
    </row>
    <row r="124" spans="1:2" s="90" customFormat="1">
      <c r="A124" s="468">
        <v>32</v>
      </c>
      <c r="B124" s="468">
        <v>13</v>
      </c>
    </row>
    <row r="125" spans="1:2" s="90" customFormat="1">
      <c r="A125" s="468">
        <v>33</v>
      </c>
      <c r="B125" s="468">
        <v>14</v>
      </c>
    </row>
    <row r="126" spans="1:2" s="90" customFormat="1">
      <c r="A126" s="468">
        <v>54</v>
      </c>
      <c r="B126" s="468">
        <v>17</v>
      </c>
    </row>
    <row r="127" spans="1:2" s="90" customFormat="1">
      <c r="A127" s="468">
        <v>69</v>
      </c>
      <c r="B127" s="468">
        <v>16</v>
      </c>
    </row>
    <row r="128" spans="1:2" s="90" customFormat="1">
      <c r="A128" s="468">
        <v>73</v>
      </c>
      <c r="B128" s="468">
        <v>12</v>
      </c>
    </row>
    <row r="129" spans="1:2" s="90" customFormat="1">
      <c r="A129" s="468">
        <v>50</v>
      </c>
      <c r="B129" s="468">
        <v>21</v>
      </c>
    </row>
    <row r="130" spans="1:2" s="90" customFormat="1">
      <c r="A130" s="468">
        <v>24</v>
      </c>
      <c r="B130" s="468">
        <v>25</v>
      </c>
    </row>
    <row r="131" spans="1:2" s="90" customFormat="1">
      <c r="A131" s="468">
        <v>78</v>
      </c>
      <c r="B131" s="468">
        <v>15</v>
      </c>
    </row>
    <row r="132" spans="1:2" s="90" customFormat="1">
      <c r="A132" s="468">
        <v>32</v>
      </c>
      <c r="B132" s="468">
        <v>21</v>
      </c>
    </row>
    <row r="133" spans="1:2" s="90" customFormat="1">
      <c r="A133" s="468">
        <v>48</v>
      </c>
      <c r="B133" s="468">
        <v>17</v>
      </c>
    </row>
    <row r="134" spans="1:2" s="90" customFormat="1">
      <c r="A134" s="468">
        <v>52</v>
      </c>
      <c r="B134" s="468">
        <v>13</v>
      </c>
    </row>
    <row r="135" spans="1:2" s="90" customFormat="1">
      <c r="A135" s="468">
        <v>67</v>
      </c>
      <c r="B135" s="468">
        <v>22</v>
      </c>
    </row>
    <row r="136" spans="1:2" s="90" customFormat="1">
      <c r="A136" s="468">
        <v>48</v>
      </c>
      <c r="B136" s="468">
        <v>13</v>
      </c>
    </row>
    <row r="137" spans="1:2" s="90" customFormat="1">
      <c r="A137" s="468">
        <v>66</v>
      </c>
      <c r="B137" s="468">
        <v>18</v>
      </c>
    </row>
    <row r="138" spans="1:2" s="90" customFormat="1">
      <c r="A138" s="468">
        <v>98</v>
      </c>
      <c r="B138" s="468">
        <v>15</v>
      </c>
    </row>
    <row r="139" spans="1:2" s="90" customFormat="1">
      <c r="A139" s="468">
        <v>62</v>
      </c>
      <c r="B139" s="468">
        <v>11</v>
      </c>
    </row>
    <row r="140" spans="1:2" s="90" customFormat="1">
      <c r="A140" s="468">
        <v>56</v>
      </c>
      <c r="B140" s="468">
        <v>21</v>
      </c>
    </row>
    <row r="141" spans="1:2" s="90" customFormat="1">
      <c r="A141" s="468">
        <v>88</v>
      </c>
      <c r="B141" s="468">
        <v>26</v>
      </c>
    </row>
    <row r="142" spans="1:2" s="90" customFormat="1">
      <c r="A142" s="468">
        <v>24</v>
      </c>
      <c r="B142" s="468">
        <v>21</v>
      </c>
    </row>
    <row r="143" spans="1:2" s="90" customFormat="1">
      <c r="A143" s="468">
        <v>55</v>
      </c>
      <c r="B143" s="468">
        <v>14</v>
      </c>
    </row>
    <row r="144" spans="1:2" s="90" customFormat="1">
      <c r="A144" s="468">
        <v>41</v>
      </c>
      <c r="B144" s="468">
        <v>11</v>
      </c>
    </row>
    <row r="145" spans="1:2" s="90" customFormat="1">
      <c r="A145" s="468">
        <v>50</v>
      </c>
      <c r="B145" s="468">
        <v>13</v>
      </c>
    </row>
    <row r="146" spans="1:2" s="90" customFormat="1">
      <c r="A146" s="468">
        <v>145</v>
      </c>
      <c r="B146" s="468">
        <v>20</v>
      </c>
    </row>
    <row r="147" spans="1:2" s="90" customFormat="1">
      <c r="A147" s="468">
        <v>19</v>
      </c>
      <c r="B147" s="468">
        <v>13</v>
      </c>
    </row>
    <row r="148" spans="1:2" s="90" customFormat="1">
      <c r="A148" s="468">
        <v>38</v>
      </c>
      <c r="B148" s="468">
        <v>6</v>
      </c>
    </row>
    <row r="149" spans="1:2" s="90" customFormat="1">
      <c r="A149" s="468">
        <v>83</v>
      </c>
      <c r="B149" s="468">
        <v>13</v>
      </c>
    </row>
    <row r="150" spans="1:2" s="90" customFormat="1">
      <c r="A150" s="468">
        <v>74</v>
      </c>
      <c r="B150" s="468">
        <v>13</v>
      </c>
    </row>
    <row r="151" spans="1:2" s="90" customFormat="1">
      <c r="A151" s="468">
        <v>85</v>
      </c>
      <c r="B151" s="468">
        <v>27</v>
      </c>
    </row>
    <row r="152" spans="1:2" s="90" customFormat="1">
      <c r="A152" s="468">
        <v>77</v>
      </c>
      <c r="B152" s="468">
        <v>10</v>
      </c>
    </row>
    <row r="153" spans="1:2" s="90" customFormat="1">
      <c r="A153" s="468">
        <v>91</v>
      </c>
      <c r="B153" s="468">
        <v>17</v>
      </c>
    </row>
    <row r="154" spans="1:2" s="90" customFormat="1">
      <c r="A154" s="468">
        <v>44</v>
      </c>
      <c r="B154" s="468">
        <v>11</v>
      </c>
    </row>
    <row r="155" spans="1:2" s="90" customFormat="1">
      <c r="A155" s="468">
        <v>29</v>
      </c>
      <c r="B155" s="468">
        <v>14</v>
      </c>
    </row>
    <row r="156" spans="1:2" s="90" customFormat="1">
      <c r="A156" s="468">
        <v>7</v>
      </c>
      <c r="B156" s="468">
        <v>11</v>
      </c>
    </row>
    <row r="157" spans="1:2" s="90" customFormat="1">
      <c r="A157" s="468">
        <v>41</v>
      </c>
      <c r="B157" s="468">
        <v>15</v>
      </c>
    </row>
    <row r="158" spans="1:2" s="90" customFormat="1">
      <c r="A158" s="468">
        <v>66</v>
      </c>
      <c r="B158" s="468">
        <v>11</v>
      </c>
    </row>
    <row r="159" spans="1:2" s="90" customFormat="1">
      <c r="A159" s="468">
        <v>33</v>
      </c>
      <c r="B159" s="468">
        <v>13</v>
      </c>
    </row>
    <row r="160" spans="1:2" s="90" customFormat="1">
      <c r="A160" s="468">
        <v>55</v>
      </c>
      <c r="B160" s="468">
        <v>14</v>
      </c>
    </row>
    <row r="161" spans="1:2" s="90" customFormat="1">
      <c r="A161" s="468">
        <v>50</v>
      </c>
      <c r="B161" s="468">
        <v>11</v>
      </c>
    </row>
    <row r="162" spans="1:2" s="90" customFormat="1">
      <c r="A162" s="468">
        <v>65</v>
      </c>
      <c r="B162" s="468">
        <v>11</v>
      </c>
    </row>
    <row r="163" spans="1:2" s="90" customFormat="1">
      <c r="A163" s="468">
        <v>35</v>
      </c>
      <c r="B163" s="468">
        <v>18</v>
      </c>
    </row>
    <row r="164" spans="1:2" s="90" customFormat="1">
      <c r="A164" s="468">
        <v>42</v>
      </c>
      <c r="B164" s="468">
        <v>15</v>
      </c>
    </row>
    <row r="165" spans="1:2" s="90" customFormat="1">
      <c r="A165" s="468">
        <v>43</v>
      </c>
      <c r="B165" s="468">
        <v>16</v>
      </c>
    </row>
    <row r="166" spans="1:2" s="90" customFormat="1">
      <c r="A166" s="468">
        <v>48</v>
      </c>
      <c r="B166" s="468">
        <v>16</v>
      </c>
    </row>
    <row r="167" spans="1:2" s="90" customFormat="1">
      <c r="A167" s="468">
        <v>72</v>
      </c>
      <c r="B167" s="468">
        <v>17</v>
      </c>
    </row>
    <row r="168" spans="1:2" s="90" customFormat="1">
      <c r="A168" s="468">
        <v>53</v>
      </c>
      <c r="B168" s="468">
        <v>24</v>
      </c>
    </row>
    <row r="169" spans="1:2" s="90" customFormat="1">
      <c r="A169" s="468">
        <v>24</v>
      </c>
      <c r="B169" s="468">
        <v>18</v>
      </c>
    </row>
    <row r="170" spans="1:2" s="90" customFormat="1">
      <c r="A170" s="468">
        <v>58</v>
      </c>
      <c r="B170" s="468">
        <v>13</v>
      </c>
    </row>
    <row r="171" spans="1:2" s="90" customFormat="1">
      <c r="A171" s="468">
        <v>61</v>
      </c>
      <c r="B171" s="468">
        <v>14</v>
      </c>
    </row>
    <row r="172" spans="1:2" s="90" customFormat="1">
      <c r="A172" s="468">
        <v>82</v>
      </c>
      <c r="B172" s="468">
        <v>22</v>
      </c>
    </row>
    <row r="173" spans="1:2" s="90" customFormat="1">
      <c r="A173" s="468">
        <v>78</v>
      </c>
      <c r="B173" s="468">
        <v>14</v>
      </c>
    </row>
    <row r="174" spans="1:2" s="90" customFormat="1">
      <c r="A174" s="468">
        <v>61</v>
      </c>
      <c r="B174" s="468">
        <v>18</v>
      </c>
    </row>
    <row r="175" spans="1:2" s="90" customFormat="1">
      <c r="A175" s="468">
        <v>26</v>
      </c>
      <c r="B175" s="468">
        <v>14</v>
      </c>
    </row>
    <row r="176" spans="1:2" s="90" customFormat="1">
      <c r="A176" s="468">
        <v>19</v>
      </c>
      <c r="B176" s="468">
        <v>10</v>
      </c>
    </row>
    <row r="177" spans="1:2" s="90" customFormat="1">
      <c r="A177" s="468">
        <v>38</v>
      </c>
      <c r="B177" s="468">
        <v>16</v>
      </c>
    </row>
    <row r="178" spans="1:2" s="90" customFormat="1">
      <c r="A178" s="468">
        <v>47</v>
      </c>
      <c r="B178" s="468">
        <v>13</v>
      </c>
    </row>
    <row r="179" spans="1:2" s="90" customFormat="1">
      <c r="A179" s="468">
        <v>35</v>
      </c>
      <c r="B179" s="468">
        <v>16</v>
      </c>
    </row>
    <row r="180" spans="1:2" s="90" customFormat="1">
      <c r="A180" s="468">
        <v>17</v>
      </c>
      <c r="B180" s="468">
        <v>12</v>
      </c>
    </row>
    <row r="181" spans="1:2" s="90" customFormat="1">
      <c r="A181" s="468">
        <v>31</v>
      </c>
      <c r="B181" s="468">
        <v>16</v>
      </c>
    </row>
    <row r="182" spans="1:2" s="90" customFormat="1">
      <c r="A182" s="468">
        <v>89</v>
      </c>
      <c r="B182" s="468">
        <v>15</v>
      </c>
    </row>
    <row r="183" spans="1:2" s="90" customFormat="1">
      <c r="A183" s="468">
        <v>47</v>
      </c>
      <c r="B183" s="468">
        <v>12</v>
      </c>
    </row>
    <row r="184" spans="1:2" s="90" customFormat="1">
      <c r="A184" s="468">
        <v>75</v>
      </c>
      <c r="B184" s="468">
        <v>11</v>
      </c>
    </row>
    <row r="185" spans="1:2" s="90" customFormat="1">
      <c r="A185" s="468">
        <v>60</v>
      </c>
      <c r="B185" s="468">
        <v>14</v>
      </c>
    </row>
    <row r="186" spans="1:2" s="90" customFormat="1">
      <c r="A186" s="468">
        <v>65</v>
      </c>
      <c r="B186" s="468">
        <v>11</v>
      </c>
    </row>
    <row r="187" spans="1:2" s="90" customFormat="1">
      <c r="A187" s="468">
        <v>73</v>
      </c>
      <c r="B187" s="468">
        <v>9</v>
      </c>
    </row>
    <row r="188" spans="1:2" s="90" customFormat="1">
      <c r="A188" s="468">
        <v>80</v>
      </c>
      <c r="B188" s="468">
        <v>13</v>
      </c>
    </row>
    <row r="189" spans="1:2" s="90" customFormat="1">
      <c r="A189" s="468">
        <v>63</v>
      </c>
      <c r="B189" s="468">
        <v>11</v>
      </c>
    </row>
    <row r="190" spans="1:2" s="90" customFormat="1">
      <c r="A190" s="468">
        <v>35</v>
      </c>
      <c r="B190" s="468">
        <v>11</v>
      </c>
    </row>
    <row r="191" spans="1:2" s="90" customFormat="1">
      <c r="A191" s="468">
        <v>40</v>
      </c>
      <c r="B191" s="468">
        <v>23</v>
      </c>
    </row>
    <row r="192" spans="1:2" s="90" customFormat="1">
      <c r="A192" s="468">
        <v>67</v>
      </c>
      <c r="B192" s="468">
        <v>12</v>
      </c>
    </row>
    <row r="193" spans="1:2" s="90" customFormat="1">
      <c r="A193" s="468">
        <v>31</v>
      </c>
      <c r="B193" s="468">
        <v>13</v>
      </c>
    </row>
    <row r="194" spans="1:2" s="90" customFormat="1">
      <c r="A194" s="468">
        <v>72</v>
      </c>
      <c r="B194" s="468">
        <v>19</v>
      </c>
    </row>
    <row r="195" spans="1:2" s="90" customFormat="1">
      <c r="A195" s="468">
        <v>32</v>
      </c>
      <c r="B195" s="468">
        <v>19</v>
      </c>
    </row>
    <row r="196" spans="1:2" s="90" customFormat="1">
      <c r="A196" s="468">
        <v>45</v>
      </c>
      <c r="B196" s="468">
        <v>26</v>
      </c>
    </row>
    <row r="197" spans="1:2" s="90" customFormat="1">
      <c r="A197" s="468">
        <v>10</v>
      </c>
      <c r="B197" s="468">
        <v>15</v>
      </c>
    </row>
    <row r="198" spans="1:2" s="90" customFormat="1">
      <c r="A198" s="468">
        <v>50</v>
      </c>
      <c r="B198" s="468">
        <v>11</v>
      </c>
    </row>
    <row r="199" spans="1:2" s="90" customFormat="1">
      <c r="A199" s="468">
        <v>51</v>
      </c>
      <c r="B199" s="468">
        <v>13</v>
      </c>
    </row>
    <row r="200" spans="1:2" s="90" customFormat="1">
      <c r="A200" s="468">
        <v>25</v>
      </c>
      <c r="B200" s="468">
        <v>11</v>
      </c>
    </row>
    <row r="201" spans="1:2" s="90" customFormat="1">
      <c r="A201" s="468">
        <v>63</v>
      </c>
      <c r="B201" s="468">
        <v>22</v>
      </c>
    </row>
    <row r="202" spans="1:2" s="90" customFormat="1">
      <c r="A202" s="468">
        <v>49</v>
      </c>
      <c r="B202" s="468">
        <v>13</v>
      </c>
    </row>
    <row r="203" spans="1:2" s="90" customFormat="1">
      <c r="A203" s="468">
        <v>69</v>
      </c>
      <c r="B203" s="468">
        <v>19</v>
      </c>
    </row>
    <row r="204" spans="1:2" s="90" customFormat="1">
      <c r="A204" s="468">
        <v>5</v>
      </c>
      <c r="B204" s="468">
        <v>10</v>
      </c>
    </row>
    <row r="205" spans="1:2" s="90" customFormat="1">
      <c r="A205" s="468">
        <v>72</v>
      </c>
      <c r="B205" s="468">
        <v>16</v>
      </c>
    </row>
    <row r="206" spans="1:2" s="90" customFormat="1">
      <c r="A206" s="468">
        <v>17</v>
      </c>
      <c r="B206" s="468">
        <v>12</v>
      </c>
    </row>
    <row r="207" spans="1:2" s="90" customFormat="1">
      <c r="A207" s="468">
        <v>38</v>
      </c>
      <c r="B207" s="468">
        <v>12</v>
      </c>
    </row>
    <row r="208" spans="1:2" s="90" customFormat="1">
      <c r="A208" s="468">
        <v>25</v>
      </c>
      <c r="B208" s="468">
        <v>19</v>
      </c>
    </row>
    <row r="209" spans="1:2" s="90" customFormat="1">
      <c r="A209" s="468">
        <v>35</v>
      </c>
      <c r="B209" s="468">
        <v>13</v>
      </c>
    </row>
    <row r="210" spans="1:2" s="90" customFormat="1">
      <c r="A210" s="468">
        <v>76</v>
      </c>
      <c r="B210" s="468">
        <v>10</v>
      </c>
    </row>
    <row r="211" spans="1:2" s="90" customFormat="1">
      <c r="A211" s="468">
        <v>33</v>
      </c>
      <c r="B211" s="468">
        <v>12</v>
      </c>
    </row>
    <row r="212" spans="1:2" s="90" customFormat="1">
      <c r="A212" s="468">
        <v>42</v>
      </c>
      <c r="B212" s="468">
        <v>14</v>
      </c>
    </row>
    <row r="213" spans="1:2" s="90" customFormat="1">
      <c r="A213" s="468">
        <v>53</v>
      </c>
      <c r="B213" s="468">
        <v>11</v>
      </c>
    </row>
    <row r="214" spans="1:2" s="90" customFormat="1">
      <c r="A214" s="468">
        <v>48</v>
      </c>
      <c r="B214" s="468">
        <v>15</v>
      </c>
    </row>
    <row r="215" spans="1:2" s="90" customFormat="1">
      <c r="A215" s="468">
        <v>55</v>
      </c>
      <c r="B215" s="468">
        <v>16</v>
      </c>
    </row>
    <row r="216" spans="1:2" s="90" customFormat="1">
      <c r="A216" s="468">
        <v>34</v>
      </c>
      <c r="B216" s="468">
        <v>16</v>
      </c>
    </row>
    <row r="217" spans="1:2" s="90" customFormat="1">
      <c r="A217" s="468">
        <v>35</v>
      </c>
      <c r="B217" s="468">
        <v>13</v>
      </c>
    </row>
    <row r="218" spans="1:2" s="90" customFormat="1">
      <c r="A218" s="468">
        <v>38</v>
      </c>
      <c r="B218" s="468">
        <v>13</v>
      </c>
    </row>
    <row r="219" spans="1:2" s="90" customFormat="1">
      <c r="A219" s="468">
        <v>53</v>
      </c>
      <c r="B219" s="468">
        <v>10</v>
      </c>
    </row>
    <row r="220" spans="1:2" s="90" customFormat="1">
      <c r="A220" s="468">
        <v>53</v>
      </c>
      <c r="B220" s="468">
        <v>22</v>
      </c>
    </row>
    <row r="221" spans="1:2" s="90" customFormat="1">
      <c r="A221" s="468">
        <v>45</v>
      </c>
      <c r="B221" s="468">
        <v>13</v>
      </c>
    </row>
    <row r="222" spans="1:2" s="90" customFormat="1">
      <c r="A222" s="468">
        <v>49</v>
      </c>
      <c r="B222" s="468">
        <v>13</v>
      </c>
    </row>
    <row r="223" spans="1:2" s="90" customFormat="1">
      <c r="A223" s="468">
        <v>31</v>
      </c>
      <c r="B223" s="468">
        <v>21</v>
      </c>
    </row>
    <row r="224" spans="1:2" s="90" customFormat="1">
      <c r="A224" s="468">
        <v>55</v>
      </c>
      <c r="B224" s="468">
        <v>19</v>
      </c>
    </row>
    <row r="225" spans="1:2" s="90" customFormat="1">
      <c r="A225" s="468">
        <v>58</v>
      </c>
      <c r="B225" s="468">
        <v>18</v>
      </c>
    </row>
    <row r="226" spans="1:2" s="90" customFormat="1">
      <c r="A226" s="468">
        <v>77</v>
      </c>
      <c r="B226" s="468">
        <v>26</v>
      </c>
    </row>
    <row r="227" spans="1:2" s="90" customFormat="1">
      <c r="A227" s="468">
        <v>41</v>
      </c>
      <c r="B227" s="468">
        <v>13</v>
      </c>
    </row>
    <row r="228" spans="1:2" s="90" customFormat="1">
      <c r="A228" s="468">
        <v>65</v>
      </c>
      <c r="B228" s="468">
        <v>18</v>
      </c>
    </row>
    <row r="229" spans="1:2" s="90" customFormat="1">
      <c r="A229" s="468">
        <v>35</v>
      </c>
      <c r="B229" s="468">
        <v>24</v>
      </c>
    </row>
    <row r="230" spans="1:2" s="90" customFormat="1">
      <c r="A230" s="468">
        <v>41</v>
      </c>
      <c r="B230" s="468">
        <v>12</v>
      </c>
    </row>
    <row r="231" spans="1:2" s="90" customFormat="1">
      <c r="A231" s="468">
        <v>34</v>
      </c>
      <c r="B231" s="468">
        <v>25</v>
      </c>
    </row>
    <row r="232" spans="1:2" s="90" customFormat="1">
      <c r="A232" s="468">
        <v>35</v>
      </c>
      <c r="B232" s="468">
        <v>14</v>
      </c>
    </row>
    <row r="233" spans="1:2" s="90" customFormat="1">
      <c r="A233" s="468">
        <v>87</v>
      </c>
      <c r="B233" s="468">
        <v>15</v>
      </c>
    </row>
    <row r="234" spans="1:2" s="90" customFormat="1">
      <c r="A234" s="468">
        <v>21</v>
      </c>
      <c r="B234" s="468">
        <v>19</v>
      </c>
    </row>
    <row r="235" spans="1:2" s="90" customFormat="1">
      <c r="A235" s="468">
        <v>72</v>
      </c>
      <c r="B235" s="468">
        <v>19</v>
      </c>
    </row>
    <row r="236" spans="1:2" s="90" customFormat="1">
      <c r="A236" s="468">
        <v>43</v>
      </c>
      <c r="B236" s="468">
        <v>25</v>
      </c>
    </row>
    <row r="237" spans="1:2" s="90" customFormat="1">
      <c r="A237" s="468">
        <v>35</v>
      </c>
      <c r="B237" s="468">
        <v>18</v>
      </c>
    </row>
    <row r="238" spans="1:2" s="90" customFormat="1">
      <c r="A238" s="468">
        <v>29</v>
      </c>
      <c r="B238" s="468">
        <v>14</v>
      </c>
    </row>
    <row r="239" spans="1:2" s="90" customFormat="1">
      <c r="A239" s="468">
        <v>98</v>
      </c>
      <c r="B239" s="468">
        <v>21</v>
      </c>
    </row>
    <row r="240" spans="1:2" s="90" customFormat="1">
      <c r="A240" s="468">
        <v>57</v>
      </c>
      <c r="B240" s="468">
        <v>21</v>
      </c>
    </row>
    <row r="241" spans="1:2" s="90" customFormat="1">
      <c r="A241" s="468">
        <v>25</v>
      </c>
      <c r="B241" s="468">
        <v>15</v>
      </c>
    </row>
    <row r="242" spans="1:2" s="90" customFormat="1">
      <c r="A242" s="468">
        <v>35</v>
      </c>
      <c r="B242" s="468">
        <v>12</v>
      </c>
    </row>
    <row r="243" spans="1:2" s="90" customFormat="1">
      <c r="A243" s="468">
        <v>108</v>
      </c>
      <c r="B243" s="468">
        <v>19</v>
      </c>
    </row>
    <row r="244" spans="1:2" s="90" customFormat="1">
      <c r="A244" s="468">
        <v>66</v>
      </c>
      <c r="B244" s="468">
        <v>25</v>
      </c>
    </row>
    <row r="245" spans="1:2" s="90" customFormat="1">
      <c r="A245" s="468">
        <v>24</v>
      </c>
      <c r="B245" s="468">
        <v>16</v>
      </c>
    </row>
    <row r="246" spans="1:2" s="90" customFormat="1">
      <c r="A246" s="468">
        <v>35</v>
      </c>
      <c r="B246" s="468">
        <v>25</v>
      </c>
    </row>
    <row r="247" spans="1:2" s="90" customFormat="1">
      <c r="A247" s="468">
        <v>43</v>
      </c>
      <c r="B247" s="468">
        <v>25</v>
      </c>
    </row>
    <row r="248" spans="1:2" s="90" customFormat="1">
      <c r="A248" s="468">
        <v>23</v>
      </c>
      <c r="B248" s="468">
        <v>18</v>
      </c>
    </row>
    <row r="249" spans="1:2" s="90" customFormat="1">
      <c r="A249" s="468">
        <v>47</v>
      </c>
      <c r="B249" s="468">
        <v>13</v>
      </c>
    </row>
    <row r="250" spans="1:2" s="90" customFormat="1">
      <c r="A250" s="468">
        <v>40</v>
      </c>
      <c r="B250" s="468">
        <v>16</v>
      </c>
    </row>
    <row r="251" spans="1:2" s="90" customFormat="1">
      <c r="A251" s="468">
        <v>28</v>
      </c>
      <c r="B251" s="468">
        <v>14</v>
      </c>
    </row>
    <row r="252" spans="1:2" s="90" customFormat="1">
      <c r="A252" s="468">
        <v>56</v>
      </c>
      <c r="B252" s="468">
        <v>19</v>
      </c>
    </row>
    <row r="253" spans="1:2" s="90" customFormat="1">
      <c r="A253" s="468">
        <v>64</v>
      </c>
      <c r="B253" s="468">
        <v>19</v>
      </c>
    </row>
    <row r="254" spans="1:2" s="90" customFormat="1">
      <c r="A254" s="468">
        <v>20</v>
      </c>
      <c r="B254" s="468">
        <v>11</v>
      </c>
    </row>
    <row r="255" spans="1:2" s="90" customFormat="1">
      <c r="A255" s="468">
        <v>34</v>
      </c>
      <c r="B255" s="468">
        <v>27</v>
      </c>
    </row>
    <row r="256" spans="1:2" s="90" customFormat="1">
      <c r="A256" s="468">
        <v>48</v>
      </c>
      <c r="B256" s="468">
        <v>22</v>
      </c>
    </row>
    <row r="257" spans="1:2" s="90" customFormat="1">
      <c r="A257" s="468">
        <v>16</v>
      </c>
      <c r="B257" s="468">
        <v>8</v>
      </c>
    </row>
    <row r="258" spans="1:2" s="90" customFormat="1">
      <c r="A258" s="468">
        <v>62</v>
      </c>
      <c r="B258" s="468">
        <v>13</v>
      </c>
    </row>
    <row r="259" spans="1:2" s="90" customFormat="1">
      <c r="A259" s="468">
        <v>104</v>
      </c>
      <c r="B259" s="468">
        <v>10</v>
      </c>
    </row>
    <row r="260" spans="1:2" s="90" customFormat="1">
      <c r="A260" s="468">
        <v>127</v>
      </c>
      <c r="B260" s="468">
        <v>17</v>
      </c>
    </row>
    <row r="261" spans="1:2" s="90" customFormat="1">
      <c r="A261" s="468">
        <v>88</v>
      </c>
      <c r="B261" s="468">
        <v>25</v>
      </c>
    </row>
    <row r="262" spans="1:2" s="90" customFormat="1">
      <c r="A262" s="468">
        <v>61</v>
      </c>
      <c r="B262" s="468">
        <v>16</v>
      </c>
    </row>
    <row r="263" spans="1:2" s="90" customFormat="1">
      <c r="A263" s="468">
        <v>62</v>
      </c>
      <c r="B263" s="468">
        <v>16</v>
      </c>
    </row>
    <row r="264" spans="1:2" s="90" customFormat="1">
      <c r="A264" s="468">
        <v>34</v>
      </c>
      <c r="B264" s="468">
        <v>13</v>
      </c>
    </row>
    <row r="265" spans="1:2" s="90" customFormat="1">
      <c r="A265" s="468">
        <v>46</v>
      </c>
      <c r="B265" s="468">
        <v>19</v>
      </c>
    </row>
    <row r="266" spans="1:2" s="90" customFormat="1">
      <c r="A266" s="468">
        <v>52</v>
      </c>
      <c r="B266" s="468">
        <v>20</v>
      </c>
    </row>
    <row r="267" spans="1:2" s="90" customFormat="1">
      <c r="A267" s="468">
        <v>53</v>
      </c>
      <c r="B267" s="468">
        <v>20</v>
      </c>
    </row>
    <row r="268" spans="1:2" s="90" customFormat="1">
      <c r="A268" s="468">
        <v>88</v>
      </c>
      <c r="B268" s="468">
        <v>15</v>
      </c>
    </row>
    <row r="269" spans="1:2" s="90" customFormat="1">
      <c r="A269" s="468">
        <v>60</v>
      </c>
      <c r="B269" s="468">
        <v>12</v>
      </c>
    </row>
    <row r="270" spans="1:2" s="90" customFormat="1">
      <c r="A270" s="468">
        <v>25</v>
      </c>
      <c r="B270" s="468">
        <v>16</v>
      </c>
    </row>
    <row r="271" spans="1:2" s="90" customFormat="1">
      <c r="A271" s="468">
        <v>73</v>
      </c>
      <c r="B271" s="468">
        <v>19</v>
      </c>
    </row>
    <row r="272" spans="1:2" s="90" customFormat="1">
      <c r="A272" s="468">
        <v>79</v>
      </c>
      <c r="B272" s="468">
        <v>13</v>
      </c>
    </row>
    <row r="273" spans="1:2" s="90" customFormat="1">
      <c r="A273" s="468">
        <v>41</v>
      </c>
      <c r="B273" s="468">
        <v>15</v>
      </c>
    </row>
    <row r="274" spans="1:2" s="90" customFormat="1">
      <c r="A274" s="468">
        <v>38</v>
      </c>
      <c r="B274" s="468">
        <v>8</v>
      </c>
    </row>
    <row r="275" spans="1:2" s="90" customFormat="1">
      <c r="A275" s="468">
        <v>36</v>
      </c>
      <c r="B275" s="468">
        <v>11</v>
      </c>
    </row>
    <row r="276" spans="1:2" s="90" customFormat="1">
      <c r="A276" s="468">
        <v>39</v>
      </c>
      <c r="B276" s="468">
        <v>10</v>
      </c>
    </row>
    <row r="277" spans="1:2" s="90" customFormat="1">
      <c r="A277" s="468">
        <v>39</v>
      </c>
      <c r="B277" s="468">
        <v>11</v>
      </c>
    </row>
    <row r="278" spans="1:2" s="90" customFormat="1">
      <c r="A278" s="468">
        <v>71</v>
      </c>
      <c r="B278" s="468">
        <v>15</v>
      </c>
    </row>
    <row r="279" spans="1:2" s="90" customFormat="1">
      <c r="A279" s="468">
        <v>30</v>
      </c>
      <c r="B279" s="468">
        <v>27</v>
      </c>
    </row>
    <row r="280" spans="1:2" s="90" customFormat="1">
      <c r="A280" s="468">
        <v>70</v>
      </c>
      <c r="B280" s="468">
        <v>21</v>
      </c>
    </row>
    <row r="281" spans="1:2" s="90" customFormat="1">
      <c r="A281" s="468">
        <v>81</v>
      </c>
      <c r="B281" s="468">
        <v>12</v>
      </c>
    </row>
    <row r="282" spans="1:2" s="90" customFormat="1">
      <c r="A282" s="468">
        <v>72</v>
      </c>
      <c r="B282" s="468">
        <v>18</v>
      </c>
    </row>
    <row r="283" spans="1:2" s="90" customFormat="1">
      <c r="A283" s="468">
        <v>35</v>
      </c>
      <c r="B283" s="468">
        <v>13</v>
      </c>
    </row>
    <row r="284" spans="1:2" s="90" customFormat="1">
      <c r="A284" s="468">
        <v>55</v>
      </c>
      <c r="B284" s="468">
        <v>24</v>
      </c>
    </row>
    <row r="285" spans="1:2" s="90" customFormat="1">
      <c r="A285" s="468">
        <v>51</v>
      </c>
      <c r="B285" s="468">
        <v>13</v>
      </c>
    </row>
    <row r="286" spans="1:2" s="90" customFormat="1">
      <c r="A286" s="468">
        <v>55</v>
      </c>
      <c r="B286" s="468">
        <v>14</v>
      </c>
    </row>
    <row r="287" spans="1:2" s="90" customFormat="1">
      <c r="A287" s="468">
        <v>57</v>
      </c>
      <c r="B287" s="468">
        <v>26</v>
      </c>
    </row>
    <row r="288" spans="1:2" s="90" customFormat="1">
      <c r="A288" s="468">
        <v>26</v>
      </c>
      <c r="B288" s="468">
        <v>24</v>
      </c>
    </row>
    <row r="289" spans="1:2" s="90" customFormat="1">
      <c r="A289" s="468">
        <v>103</v>
      </c>
      <c r="B289" s="468">
        <v>14</v>
      </c>
    </row>
    <row r="290" spans="1:2" s="90" customFormat="1">
      <c r="A290" s="468">
        <v>29</v>
      </c>
      <c r="B290" s="468">
        <v>24</v>
      </c>
    </row>
    <row r="291" spans="1:2" s="90" customFormat="1">
      <c r="A291" s="468">
        <v>57</v>
      </c>
      <c r="B291" s="468">
        <v>16</v>
      </c>
    </row>
    <row r="292" spans="1:2" s="90" customFormat="1">
      <c r="A292" s="468">
        <v>65</v>
      </c>
      <c r="B292" s="468">
        <v>13</v>
      </c>
    </row>
    <row r="293" spans="1:2" s="90" customFormat="1">
      <c r="A293" s="468">
        <v>29</v>
      </c>
      <c r="B293" s="468">
        <v>9</v>
      </c>
    </row>
    <row r="294" spans="1:2" s="90" customFormat="1">
      <c r="A294" s="468">
        <v>74</v>
      </c>
      <c r="B294" s="468">
        <v>11</v>
      </c>
    </row>
    <row r="295" spans="1:2" s="90" customFormat="1">
      <c r="A295" s="468">
        <v>19</v>
      </c>
      <c r="B295" s="468">
        <v>13</v>
      </c>
    </row>
    <row r="296" spans="1:2" s="90" customFormat="1">
      <c r="A296" s="468">
        <v>55</v>
      </c>
      <c r="B296" s="468">
        <v>14</v>
      </c>
    </row>
    <row r="297" spans="1:2" s="90" customFormat="1">
      <c r="A297" s="468">
        <v>63</v>
      </c>
      <c r="B297" s="468">
        <v>17</v>
      </c>
    </row>
    <row r="298" spans="1:2" s="90" customFormat="1">
      <c r="A298" s="468">
        <v>64</v>
      </c>
      <c r="B298" s="468">
        <v>10</v>
      </c>
    </row>
    <row r="299" spans="1:2" s="90" customFormat="1">
      <c r="A299" s="468">
        <v>65</v>
      </c>
      <c r="B299" s="468">
        <v>15</v>
      </c>
    </row>
    <row r="300" spans="1:2" s="90" customFormat="1">
      <c r="A300" s="468">
        <v>30</v>
      </c>
      <c r="B300" s="468">
        <v>13</v>
      </c>
    </row>
    <row r="301" spans="1:2" s="90" customFormat="1">
      <c r="A301" s="468">
        <v>87</v>
      </c>
      <c r="B301" s="468">
        <v>9</v>
      </c>
    </row>
    <row r="302" spans="1:2" s="90" customFormat="1">
      <c r="A302" s="468">
        <v>16</v>
      </c>
      <c r="B302" s="468">
        <v>13</v>
      </c>
    </row>
    <row r="303" spans="1:2" s="90" customFormat="1">
      <c r="A303" s="468">
        <v>59</v>
      </c>
      <c r="B303" s="468">
        <v>13</v>
      </c>
    </row>
    <row r="304" spans="1:2" s="90" customFormat="1">
      <c r="A304" s="468">
        <v>68</v>
      </c>
      <c r="B304" s="468">
        <v>10</v>
      </c>
    </row>
    <row r="305" spans="1:2" s="90" customFormat="1">
      <c r="A305" s="468">
        <v>50</v>
      </c>
      <c r="B305" s="468">
        <v>10</v>
      </c>
    </row>
    <row r="306" spans="1:2" s="90" customFormat="1">
      <c r="A306" s="468">
        <v>84</v>
      </c>
      <c r="B306" s="468">
        <v>21</v>
      </c>
    </row>
    <row r="307" spans="1:2" s="90" customFormat="1">
      <c r="A307" s="468">
        <v>36</v>
      </c>
      <c r="B307" s="468">
        <v>10</v>
      </c>
    </row>
    <row r="308" spans="1:2" s="90" customFormat="1">
      <c r="A308" s="468">
        <v>55</v>
      </c>
      <c r="B308" s="468">
        <v>12</v>
      </c>
    </row>
    <row r="309" spans="1:2" s="90" customFormat="1">
      <c r="A309" s="468">
        <v>35</v>
      </c>
      <c r="B309" s="468">
        <v>11</v>
      </c>
    </row>
    <row r="310" spans="1:2" s="90" customFormat="1">
      <c r="A310" s="468">
        <v>57</v>
      </c>
      <c r="B310" s="468">
        <v>19</v>
      </c>
    </row>
    <row r="311" spans="1:2" s="90" customFormat="1">
      <c r="A311" s="468">
        <v>50</v>
      </c>
      <c r="B311" s="468">
        <v>16</v>
      </c>
    </row>
    <row r="312" spans="1:2" s="90" customFormat="1">
      <c r="A312" s="468">
        <v>39</v>
      </c>
      <c r="B312" s="468">
        <v>10</v>
      </c>
    </row>
    <row r="313" spans="1:2" s="90" customFormat="1">
      <c r="A313" s="468">
        <v>17</v>
      </c>
      <c r="B313" s="468">
        <v>10</v>
      </c>
    </row>
    <row r="314" spans="1:2" s="90" customFormat="1">
      <c r="A314" s="468">
        <v>58</v>
      </c>
      <c r="B314" s="468">
        <v>12</v>
      </c>
    </row>
    <row r="315" spans="1:2" s="90" customFormat="1">
      <c r="A315" s="468">
        <v>85</v>
      </c>
      <c r="B315" s="468">
        <v>17</v>
      </c>
    </row>
    <row r="316" spans="1:2" s="90" customFormat="1">
      <c r="A316" s="468">
        <v>59</v>
      </c>
      <c r="B316" s="468">
        <v>12</v>
      </c>
    </row>
    <row r="317" spans="1:2" s="90" customFormat="1">
      <c r="A317" s="468">
        <v>65</v>
      </c>
      <c r="B317" s="468">
        <v>14</v>
      </c>
    </row>
    <row r="318" spans="1:2" s="90" customFormat="1">
      <c r="A318" s="468">
        <v>28</v>
      </c>
      <c r="B318" s="468">
        <v>14</v>
      </c>
    </row>
    <row r="319" spans="1:2" s="90" customFormat="1">
      <c r="A319" s="468">
        <v>50</v>
      </c>
      <c r="B319" s="468">
        <v>8</v>
      </c>
    </row>
    <row r="320" spans="1:2" s="90" customFormat="1">
      <c r="A320" s="468">
        <v>39</v>
      </c>
      <c r="B320" s="468">
        <v>7</v>
      </c>
    </row>
    <row r="321" spans="1:2" s="90" customFormat="1">
      <c r="A321" s="468">
        <v>47</v>
      </c>
      <c r="B321" s="468">
        <v>12</v>
      </c>
    </row>
    <row r="322" spans="1:2" s="90" customFormat="1">
      <c r="A322" s="468">
        <v>52</v>
      </c>
      <c r="B322" s="468">
        <v>11</v>
      </c>
    </row>
    <row r="323" spans="1:2" s="90" customFormat="1">
      <c r="A323" s="468">
        <v>53</v>
      </c>
      <c r="B323" s="468">
        <v>11</v>
      </c>
    </row>
    <row r="324" spans="1:2" s="90" customFormat="1">
      <c r="A324" s="468">
        <v>28</v>
      </c>
      <c r="B324" s="468">
        <v>26</v>
      </c>
    </row>
    <row r="325" spans="1:2" s="90" customFormat="1">
      <c r="A325" s="468">
        <v>37</v>
      </c>
      <c r="B325" s="468">
        <v>15</v>
      </c>
    </row>
    <row r="326" spans="1:2" s="90" customFormat="1">
      <c r="A326" s="468">
        <v>71</v>
      </c>
      <c r="B326" s="468">
        <v>13</v>
      </c>
    </row>
    <row r="327" spans="1:2" s="90" customFormat="1">
      <c r="A327" s="468">
        <v>44</v>
      </c>
      <c r="B327" s="468">
        <v>16</v>
      </c>
    </row>
    <row r="328" spans="1:2" s="90" customFormat="1">
      <c r="A328" s="468">
        <v>15</v>
      </c>
      <c r="B328" s="468">
        <v>21</v>
      </c>
    </row>
    <row r="329" spans="1:2" s="90" customFormat="1">
      <c r="A329" s="468">
        <v>12</v>
      </c>
      <c r="B329" s="468">
        <v>16</v>
      </c>
    </row>
    <row r="330" spans="1:2" s="90" customFormat="1">
      <c r="A330" s="468">
        <v>59</v>
      </c>
      <c r="B330" s="468">
        <v>20</v>
      </c>
    </row>
    <row r="331" spans="1:2" s="90" customFormat="1">
      <c r="A331" s="468">
        <v>73</v>
      </c>
      <c r="B331" s="468">
        <v>24</v>
      </c>
    </row>
    <row r="332" spans="1:2" s="90" customFormat="1">
      <c r="A332" s="468">
        <v>36</v>
      </c>
      <c r="B332" s="468">
        <v>28</v>
      </c>
    </row>
    <row r="333" spans="1:2" s="90" customFormat="1">
      <c r="A333" s="468">
        <v>35</v>
      </c>
      <c r="B333" s="468">
        <v>18</v>
      </c>
    </row>
    <row r="334" spans="1:2" s="90" customFormat="1">
      <c r="A334" s="468">
        <v>57</v>
      </c>
      <c r="B334" s="468">
        <v>14</v>
      </c>
    </row>
    <row r="335" spans="1:2" s="90" customFormat="1">
      <c r="A335" s="468">
        <v>92</v>
      </c>
      <c r="B335" s="468">
        <v>13</v>
      </c>
    </row>
    <row r="336" spans="1:2" s="90" customFormat="1">
      <c r="A336" s="468">
        <v>64</v>
      </c>
      <c r="B336" s="468">
        <v>30</v>
      </c>
    </row>
    <row r="337" spans="1:2" s="90" customFormat="1">
      <c r="A337" s="468">
        <v>29</v>
      </c>
      <c r="B337" s="468">
        <v>16</v>
      </c>
    </row>
    <row r="338" spans="1:2" s="90" customFormat="1">
      <c r="A338" s="468">
        <v>37</v>
      </c>
      <c r="B338" s="468">
        <v>13</v>
      </c>
    </row>
    <row r="339" spans="1:2" s="90" customFormat="1">
      <c r="A339" s="468">
        <v>87</v>
      </c>
      <c r="B339" s="468">
        <v>23</v>
      </c>
    </row>
    <row r="340" spans="1:2" s="90" customFormat="1">
      <c r="A340" s="468">
        <v>73</v>
      </c>
      <c r="B340" s="468">
        <v>19</v>
      </c>
    </row>
    <row r="341" spans="1:2" s="90" customFormat="1">
      <c r="A341" s="468">
        <v>58</v>
      </c>
      <c r="B341" s="468">
        <v>12</v>
      </c>
    </row>
    <row r="342" spans="1:2" s="90" customFormat="1">
      <c r="A342" s="468">
        <v>91</v>
      </c>
      <c r="B342" s="468">
        <v>16</v>
      </c>
    </row>
    <row r="343" spans="1:2" s="90" customFormat="1">
      <c r="A343" s="468">
        <v>62</v>
      </c>
      <c r="B343" s="468">
        <v>18</v>
      </c>
    </row>
    <row r="344" spans="1:2" s="90" customFormat="1">
      <c r="A344" s="468">
        <v>25</v>
      </c>
      <c r="B344" s="468">
        <v>10</v>
      </c>
    </row>
    <row r="345" spans="1:2" s="90" customFormat="1">
      <c r="A345" s="468">
        <v>52</v>
      </c>
      <c r="B345" s="468">
        <v>14</v>
      </c>
    </row>
    <row r="346" spans="1:2" s="90" customFormat="1">
      <c r="A346" s="468">
        <v>78</v>
      </c>
      <c r="B346" s="468">
        <v>17</v>
      </c>
    </row>
    <row r="347" spans="1:2" s="90" customFormat="1">
      <c r="A347" s="468">
        <v>90</v>
      </c>
      <c r="B347" s="468">
        <v>29</v>
      </c>
    </row>
    <row r="348" spans="1:2" s="90" customFormat="1">
      <c r="A348" s="468">
        <v>60</v>
      </c>
      <c r="B348" s="468">
        <v>16</v>
      </c>
    </row>
    <row r="349" spans="1:2" s="90" customFormat="1">
      <c r="A349" s="468">
        <v>85</v>
      </c>
      <c r="B349" s="468">
        <v>14</v>
      </c>
    </row>
    <row r="350" spans="1:2" s="90" customFormat="1">
      <c r="A350" s="468">
        <v>54</v>
      </c>
      <c r="B350" s="468">
        <v>13</v>
      </c>
    </row>
    <row r="351" spans="1:2" s="90" customFormat="1">
      <c r="A351" s="468">
        <v>35</v>
      </c>
      <c r="B351" s="468">
        <v>14</v>
      </c>
    </row>
    <row r="352" spans="1:2" s="90" customFormat="1">
      <c r="A352" s="468">
        <v>78</v>
      </c>
      <c r="B352" s="468">
        <v>23</v>
      </c>
    </row>
    <row r="353" spans="1:2" s="90" customFormat="1">
      <c r="A353" s="468">
        <v>55</v>
      </c>
      <c r="B353" s="468">
        <v>25</v>
      </c>
    </row>
    <row r="354" spans="1:2" s="90" customFormat="1">
      <c r="A354" s="468">
        <v>82</v>
      </c>
      <c r="B354" s="468">
        <v>20</v>
      </c>
    </row>
    <row r="355" spans="1:2" s="90" customFormat="1">
      <c r="A355" s="468">
        <v>82</v>
      </c>
      <c r="B355" s="468">
        <v>16</v>
      </c>
    </row>
    <row r="356" spans="1:2" s="90" customFormat="1">
      <c r="A356" s="468">
        <v>36</v>
      </c>
      <c r="B356" s="468">
        <v>11</v>
      </c>
    </row>
    <row r="357" spans="1:2" s="90" customFormat="1">
      <c r="A357" s="468">
        <v>42</v>
      </c>
      <c r="B357" s="468">
        <v>15</v>
      </c>
    </row>
    <row r="358" spans="1:2" s="90" customFormat="1">
      <c r="A358" s="468">
        <v>26</v>
      </c>
      <c r="B358" s="468">
        <v>23</v>
      </c>
    </row>
    <row r="359" spans="1:2" s="90" customFormat="1">
      <c r="A359" s="468">
        <v>81</v>
      </c>
      <c r="B359" s="468">
        <v>13</v>
      </c>
    </row>
    <row r="360" spans="1:2" s="90" customFormat="1">
      <c r="A360" s="468">
        <v>62</v>
      </c>
      <c r="B360" s="468">
        <v>13</v>
      </c>
    </row>
    <row r="361" spans="1:2" s="90" customFormat="1">
      <c r="A361" s="468">
        <v>33</v>
      </c>
      <c r="B361" s="468">
        <v>26</v>
      </c>
    </row>
    <row r="362" spans="1:2" s="90" customFormat="1">
      <c r="A362" s="468">
        <v>84</v>
      </c>
      <c r="B362" s="468">
        <v>27</v>
      </c>
    </row>
    <row r="363" spans="1:2" s="90" customFormat="1">
      <c r="A363" s="468">
        <v>85</v>
      </c>
      <c r="B363" s="468">
        <v>25</v>
      </c>
    </row>
    <row r="364" spans="1:2" s="90" customFormat="1">
      <c r="A364" s="468">
        <v>84</v>
      </c>
      <c r="B364" s="468">
        <v>25</v>
      </c>
    </row>
    <row r="365" spans="1:2" s="90" customFormat="1">
      <c r="A365" s="468">
        <v>35</v>
      </c>
      <c r="B365" s="468">
        <v>26</v>
      </c>
    </row>
    <row r="366" spans="1:2" s="90" customFormat="1">
      <c r="A366" s="468">
        <v>95</v>
      </c>
      <c r="B366" s="468">
        <v>15</v>
      </c>
    </row>
    <row r="367" spans="1:2" s="90" customFormat="1">
      <c r="A367" s="468">
        <v>47</v>
      </c>
      <c r="B367" s="468">
        <v>13</v>
      </c>
    </row>
    <row r="368" spans="1:2" s="90" customFormat="1">
      <c r="A368" s="468">
        <v>46</v>
      </c>
      <c r="B368" s="468">
        <v>23</v>
      </c>
    </row>
    <row r="369" spans="1:2" s="90" customFormat="1">
      <c r="A369" s="468">
        <v>15</v>
      </c>
      <c r="B369" s="468">
        <v>22</v>
      </c>
    </row>
    <row r="370" spans="1:2" s="90" customFormat="1">
      <c r="A370" s="468">
        <v>66</v>
      </c>
      <c r="B370" s="468">
        <v>13</v>
      </c>
    </row>
    <row r="371" spans="1:2" s="90" customFormat="1">
      <c r="A371" s="468">
        <v>45</v>
      </c>
      <c r="B371" s="468">
        <v>24</v>
      </c>
    </row>
    <row r="372" spans="1:2" s="90" customFormat="1">
      <c r="A372" s="468">
        <v>55</v>
      </c>
      <c r="B372" s="468">
        <v>13</v>
      </c>
    </row>
    <row r="373" spans="1:2" s="90" customFormat="1">
      <c r="A373" s="468">
        <v>37</v>
      </c>
      <c r="B373" s="468">
        <v>10</v>
      </c>
    </row>
    <row r="374" spans="1:2" s="90" customFormat="1">
      <c r="A374" s="468">
        <v>67</v>
      </c>
      <c r="B374" s="468">
        <v>13</v>
      </c>
    </row>
    <row r="375" spans="1:2" s="90" customFormat="1">
      <c r="A375" s="468">
        <v>86</v>
      </c>
      <c r="B375" s="468">
        <v>16</v>
      </c>
    </row>
    <row r="376" spans="1:2" s="90" customFormat="1">
      <c r="A376" s="468">
        <v>21</v>
      </c>
      <c r="B376" s="468">
        <v>12</v>
      </c>
    </row>
    <row r="377" spans="1:2" s="90" customFormat="1">
      <c r="A377" s="468">
        <v>24</v>
      </c>
      <c r="B377" s="468">
        <v>19</v>
      </c>
    </row>
    <row r="378" spans="1:2" s="90" customFormat="1">
      <c r="A378" s="468">
        <v>36</v>
      </c>
      <c r="B378" s="468">
        <v>13</v>
      </c>
    </row>
    <row r="379" spans="1:2" s="90" customFormat="1">
      <c r="A379" s="468">
        <v>85</v>
      </c>
      <c r="B379" s="468">
        <v>14</v>
      </c>
    </row>
    <row r="380" spans="1:2" s="90" customFormat="1">
      <c r="A380" s="468">
        <v>31</v>
      </c>
      <c r="B380" s="468">
        <v>24</v>
      </c>
    </row>
    <row r="381" spans="1:2" s="90" customFormat="1">
      <c r="A381" s="468">
        <v>63</v>
      </c>
      <c r="B381" s="468">
        <v>14</v>
      </c>
    </row>
    <row r="382" spans="1:2" s="90" customFormat="1">
      <c r="A382" s="468">
        <v>74</v>
      </c>
      <c r="B382" s="468">
        <v>12</v>
      </c>
    </row>
    <row r="383" spans="1:2" s="90" customFormat="1">
      <c r="A383" s="468">
        <v>38</v>
      </c>
      <c r="B383" s="468">
        <v>8</v>
      </c>
    </row>
    <row r="384" spans="1:2" s="90" customFormat="1">
      <c r="A384" s="468">
        <v>63</v>
      </c>
      <c r="B384" s="468">
        <v>18</v>
      </c>
    </row>
    <row r="385" spans="1:2" s="90" customFormat="1">
      <c r="A385" s="468">
        <v>74</v>
      </c>
      <c r="B385" s="468">
        <v>18</v>
      </c>
    </row>
    <row r="386" spans="1:2" s="90" customFormat="1">
      <c r="A386" s="468">
        <v>95</v>
      </c>
      <c r="B386" s="468">
        <v>20</v>
      </c>
    </row>
    <row r="387" spans="1:2" s="90" customFormat="1">
      <c r="A387" s="468">
        <v>38</v>
      </c>
      <c r="B387" s="468">
        <v>10</v>
      </c>
    </row>
    <row r="388" spans="1:2" s="90" customFormat="1">
      <c r="A388" s="468">
        <v>65</v>
      </c>
      <c r="B388" s="468">
        <v>12</v>
      </c>
    </row>
    <row r="389" spans="1:2" s="90" customFormat="1">
      <c r="A389" s="468">
        <v>47</v>
      </c>
      <c r="B389" s="468">
        <v>10</v>
      </c>
    </row>
    <row r="390" spans="1:2" s="90" customFormat="1">
      <c r="A390" s="468">
        <v>33</v>
      </c>
      <c r="B390" s="468">
        <v>19</v>
      </c>
    </row>
    <row r="391" spans="1:2" s="90" customFormat="1">
      <c r="A391" s="468">
        <v>55</v>
      </c>
      <c r="B391" s="468">
        <v>11</v>
      </c>
    </row>
    <row r="392" spans="1:2" s="90" customFormat="1">
      <c r="A392" s="468">
        <v>27</v>
      </c>
      <c r="B392" s="468">
        <v>14</v>
      </c>
    </row>
    <row r="393" spans="1:2" s="90" customFormat="1">
      <c r="A393" s="468">
        <v>86</v>
      </c>
      <c r="B393" s="468">
        <v>11</v>
      </c>
    </row>
    <row r="394" spans="1:2" s="90" customFormat="1">
      <c r="A394" s="468">
        <v>52</v>
      </c>
      <c r="B394" s="468">
        <v>12</v>
      </c>
    </row>
    <row r="395" spans="1:2" s="90" customFormat="1">
      <c r="A395" s="468">
        <v>65</v>
      </c>
      <c r="B395" s="468">
        <v>11</v>
      </c>
    </row>
    <row r="396" spans="1:2" s="90" customFormat="1">
      <c r="A396" s="468">
        <v>45</v>
      </c>
      <c r="B396" s="468">
        <v>17</v>
      </c>
    </row>
    <row r="397" spans="1:2" s="90" customFormat="1">
      <c r="A397" s="468">
        <v>23</v>
      </c>
      <c r="B397" s="468">
        <v>15</v>
      </c>
    </row>
    <row r="398" spans="1:2" s="90" customFormat="1">
      <c r="A398" s="468">
        <v>55</v>
      </c>
      <c r="B398" s="468">
        <v>23</v>
      </c>
    </row>
    <row r="399" spans="1:2" s="90" customFormat="1">
      <c r="A399" s="468">
        <v>65</v>
      </c>
      <c r="B399" s="468">
        <v>13</v>
      </c>
    </row>
    <row r="400" spans="1:2" s="90" customFormat="1">
      <c r="A400" s="468">
        <v>23</v>
      </c>
      <c r="B400" s="468">
        <v>24</v>
      </c>
    </row>
    <row r="401" spans="1:2" s="90" customFormat="1">
      <c r="A401" s="468">
        <v>29</v>
      </c>
      <c r="B401" s="468">
        <v>12</v>
      </c>
    </row>
    <row r="402" spans="1:2" s="90" customFormat="1">
      <c r="A402" s="468">
        <v>42</v>
      </c>
      <c r="B402" s="468">
        <v>20</v>
      </c>
    </row>
    <row r="403" spans="1:2" s="90" customFormat="1">
      <c r="A403" s="468">
        <v>53</v>
      </c>
      <c r="B403" s="468">
        <v>11</v>
      </c>
    </row>
    <row r="404" spans="1:2" s="90" customFormat="1">
      <c r="A404" s="468">
        <v>45</v>
      </c>
      <c r="B404" s="468">
        <v>15</v>
      </c>
    </row>
    <row r="405" spans="1:2" s="90" customFormat="1">
      <c r="A405" s="468">
        <v>74</v>
      </c>
      <c r="B405" s="468">
        <v>17</v>
      </c>
    </row>
    <row r="406" spans="1:2" s="90" customFormat="1">
      <c r="A406" s="468">
        <v>67</v>
      </c>
      <c r="B406" s="468">
        <v>10</v>
      </c>
    </row>
    <row r="407" spans="1:2" s="90" customFormat="1">
      <c r="A407" s="468">
        <v>41</v>
      </c>
      <c r="B407" s="468">
        <v>12</v>
      </c>
    </row>
    <row r="408" spans="1:2" s="90" customFormat="1">
      <c r="A408" s="468">
        <v>42</v>
      </c>
      <c r="B408" s="468">
        <v>14</v>
      </c>
    </row>
    <row r="409" spans="1:2" s="90" customFormat="1">
      <c r="A409" s="468">
        <v>73</v>
      </c>
      <c r="B409" s="468">
        <v>14</v>
      </c>
    </row>
    <row r="410" spans="1:2" s="90" customFormat="1">
      <c r="A410" s="468">
        <v>65</v>
      </c>
      <c r="B410" s="468">
        <v>11</v>
      </c>
    </row>
    <row r="411" spans="1:2" s="90" customFormat="1">
      <c r="A411" s="468">
        <v>29</v>
      </c>
      <c r="B411" s="468">
        <v>14</v>
      </c>
    </row>
    <row r="412" spans="1:2" s="90" customFormat="1">
      <c r="A412" s="468">
        <v>55</v>
      </c>
      <c r="B412" s="468">
        <v>16</v>
      </c>
    </row>
    <row r="413" spans="1:2" s="90" customFormat="1">
      <c r="A413" s="468">
        <v>44</v>
      </c>
      <c r="B413" s="468">
        <v>18</v>
      </c>
    </row>
    <row r="414" spans="1:2" s="90" customFormat="1">
      <c r="A414" s="468">
        <v>45</v>
      </c>
      <c r="B414" s="468">
        <v>15</v>
      </c>
    </row>
    <row r="415" spans="1:2" s="90" customFormat="1">
      <c r="A415" s="468">
        <v>33</v>
      </c>
      <c r="B415" s="468">
        <v>12</v>
      </c>
    </row>
    <row r="416" spans="1:2" s="90" customFormat="1">
      <c r="A416" s="468">
        <v>74</v>
      </c>
      <c r="B416" s="468">
        <v>14</v>
      </c>
    </row>
    <row r="417" spans="1:2" s="90" customFormat="1">
      <c r="A417" s="468">
        <v>38</v>
      </c>
      <c r="B417" s="468">
        <v>16</v>
      </c>
    </row>
    <row r="418" spans="1:2" s="90" customFormat="1">
      <c r="A418" s="468">
        <v>41</v>
      </c>
      <c r="B418" s="468">
        <v>10</v>
      </c>
    </row>
    <row r="419" spans="1:2" s="90" customFormat="1">
      <c r="A419" s="468">
        <v>89</v>
      </c>
      <c r="B419" s="468">
        <v>19</v>
      </c>
    </row>
    <row r="420" spans="1:2" s="90" customFormat="1">
      <c r="A420" s="468">
        <v>46</v>
      </c>
      <c r="B420" s="468">
        <v>21</v>
      </c>
    </row>
    <row r="421" spans="1:2" s="90" customFormat="1">
      <c r="A421" s="468">
        <v>72</v>
      </c>
      <c r="B421" s="468">
        <v>13</v>
      </c>
    </row>
    <row r="422" spans="1:2" s="90" customFormat="1">
      <c r="A422" s="468">
        <v>45</v>
      </c>
      <c r="B422" s="468">
        <v>14</v>
      </c>
    </row>
    <row r="423" spans="1:2" s="90" customFormat="1">
      <c r="A423" s="468">
        <v>45</v>
      </c>
      <c r="B423" s="468">
        <v>9</v>
      </c>
    </row>
    <row r="424" spans="1:2" s="90" customFormat="1">
      <c r="A424" s="468">
        <v>36</v>
      </c>
      <c r="B424" s="468">
        <v>14</v>
      </c>
    </row>
    <row r="425" spans="1:2" s="90" customFormat="1">
      <c r="A425" s="468">
        <v>49</v>
      </c>
      <c r="B425" s="468">
        <v>11</v>
      </c>
    </row>
    <row r="426" spans="1:2" s="90" customFormat="1">
      <c r="A426" s="468">
        <v>79</v>
      </c>
      <c r="B426" s="468">
        <v>14</v>
      </c>
    </row>
    <row r="427" spans="1:2" s="90" customFormat="1">
      <c r="A427" s="468">
        <v>96</v>
      </c>
      <c r="B427" s="468">
        <v>13</v>
      </c>
    </row>
    <row r="428" spans="1:2" s="90" customFormat="1">
      <c r="A428" s="468">
        <v>29</v>
      </c>
      <c r="B428" s="468">
        <v>14</v>
      </c>
    </row>
    <row r="429" spans="1:2" s="90" customFormat="1">
      <c r="A429" s="468">
        <v>16</v>
      </c>
      <c r="B429" s="468">
        <v>12</v>
      </c>
    </row>
    <row r="430" spans="1:2" s="90" customFormat="1">
      <c r="A430" s="468">
        <v>53</v>
      </c>
      <c r="B430" s="468">
        <v>13</v>
      </c>
    </row>
    <row r="431" spans="1:2" s="90" customFormat="1">
      <c r="A431" s="468">
        <v>47</v>
      </c>
      <c r="B431" s="468">
        <v>13</v>
      </c>
    </row>
    <row r="432" spans="1:2" s="90" customFormat="1">
      <c r="A432" s="468">
        <v>81</v>
      </c>
      <c r="B432" s="468">
        <v>17</v>
      </c>
    </row>
    <row r="433" spans="1:2" s="90" customFormat="1">
      <c r="A433" s="468">
        <v>51</v>
      </c>
      <c r="B433" s="468">
        <v>21</v>
      </c>
    </row>
    <row r="434" spans="1:2" s="90" customFormat="1">
      <c r="A434" s="468">
        <v>42</v>
      </c>
      <c r="B434" s="468">
        <v>13</v>
      </c>
    </row>
    <row r="435" spans="1:2" s="90" customFormat="1">
      <c r="A435" s="468">
        <v>49</v>
      </c>
      <c r="B435" s="468">
        <v>15</v>
      </c>
    </row>
    <row r="436" spans="1:2" s="90" customFormat="1">
      <c r="A436" s="468">
        <v>68</v>
      </c>
      <c r="B436" s="468">
        <v>11</v>
      </c>
    </row>
    <row r="437" spans="1:2" s="90" customFormat="1">
      <c r="A437" s="468">
        <v>35</v>
      </c>
      <c r="B437" s="468">
        <v>9</v>
      </c>
    </row>
    <row r="438" spans="1:2" s="90" customFormat="1">
      <c r="A438" s="468">
        <v>51</v>
      </c>
      <c r="B438" s="468">
        <v>12</v>
      </c>
    </row>
    <row r="439" spans="1:2" s="90" customFormat="1">
      <c r="A439" s="468">
        <v>34</v>
      </c>
      <c r="B439" s="468">
        <v>10</v>
      </c>
    </row>
    <row r="440" spans="1:2" s="90" customFormat="1">
      <c r="A440" s="468">
        <v>45</v>
      </c>
      <c r="B440" s="468">
        <v>15</v>
      </c>
    </row>
    <row r="441" spans="1:2" s="90" customFormat="1">
      <c r="A441" s="468">
        <v>89</v>
      </c>
      <c r="B441" s="468">
        <v>12</v>
      </c>
    </row>
    <row r="442" spans="1:2" s="90" customFormat="1">
      <c r="A442" s="468">
        <v>48</v>
      </c>
      <c r="B442" s="468">
        <v>13</v>
      </c>
    </row>
    <row r="443" spans="1:2" s="90" customFormat="1">
      <c r="A443" s="468">
        <v>43</v>
      </c>
      <c r="B443" s="468">
        <v>13</v>
      </c>
    </row>
    <row r="444" spans="1:2" s="90" customFormat="1">
      <c r="A444" s="468">
        <v>35</v>
      </c>
      <c r="B444" s="468">
        <v>17</v>
      </c>
    </row>
    <row r="445" spans="1:2" s="90" customFormat="1">
      <c r="A445" s="468">
        <v>34</v>
      </c>
      <c r="B445" s="468">
        <v>12</v>
      </c>
    </row>
    <row r="446" spans="1:2" s="90" customFormat="1">
      <c r="A446" s="468">
        <v>39</v>
      </c>
      <c r="B446" s="468">
        <v>15</v>
      </c>
    </row>
    <row r="447" spans="1:2" s="90" customFormat="1">
      <c r="A447" s="468">
        <v>58</v>
      </c>
      <c r="B447" s="468">
        <v>11</v>
      </c>
    </row>
    <row r="448" spans="1:2" s="90" customFormat="1">
      <c r="A448" s="468">
        <v>51</v>
      </c>
      <c r="B448" s="468">
        <v>8</v>
      </c>
    </row>
    <row r="449" spans="1:2" s="90" customFormat="1">
      <c r="A449" s="468">
        <v>44</v>
      </c>
      <c r="B449" s="468">
        <v>12</v>
      </c>
    </row>
    <row r="450" spans="1:2" s="90" customFormat="1">
      <c r="A450" s="468">
        <v>35</v>
      </c>
      <c r="B450" s="468">
        <v>7</v>
      </c>
    </row>
    <row r="451" spans="1:2" s="90" customFormat="1">
      <c r="A451" s="468">
        <v>55</v>
      </c>
      <c r="B451" s="468">
        <v>10</v>
      </c>
    </row>
    <row r="452" spans="1:2" s="90" customFormat="1">
      <c r="A452" s="468">
        <v>42</v>
      </c>
      <c r="B452" s="468">
        <v>12</v>
      </c>
    </row>
    <row r="453" spans="1:2" s="90" customFormat="1">
      <c r="A453" s="468">
        <v>31</v>
      </c>
      <c r="B453" s="468">
        <v>19</v>
      </c>
    </row>
    <row r="454" spans="1:2" s="90" customFormat="1">
      <c r="A454" s="468">
        <v>89</v>
      </c>
      <c r="B454" s="468">
        <v>17</v>
      </c>
    </row>
    <row r="455" spans="1:2" s="90" customFormat="1">
      <c r="A455" s="468">
        <v>37</v>
      </c>
      <c r="B455" s="468">
        <v>16</v>
      </c>
    </row>
    <row r="456" spans="1:2" s="90" customFormat="1">
      <c r="A456" s="468">
        <v>51</v>
      </c>
      <c r="B456" s="468">
        <v>9</v>
      </c>
    </row>
    <row r="457" spans="1:2" s="90" customFormat="1">
      <c r="A457" s="468">
        <v>48</v>
      </c>
      <c r="B457" s="468">
        <v>16</v>
      </c>
    </row>
    <row r="458" spans="1:2" s="90" customFormat="1">
      <c r="A458" s="468">
        <v>35</v>
      </c>
      <c r="B458" s="468">
        <v>16</v>
      </c>
    </row>
    <row r="459" spans="1:2" s="90" customFormat="1">
      <c r="A459" s="468">
        <v>53</v>
      </c>
      <c r="B459" s="468">
        <v>14</v>
      </c>
    </row>
    <row r="460" spans="1:2" s="90" customFormat="1">
      <c r="A460" s="468">
        <v>66</v>
      </c>
      <c r="B460" s="468">
        <v>13</v>
      </c>
    </row>
    <row r="461" spans="1:2" s="90" customFormat="1">
      <c r="A461" s="468">
        <v>61</v>
      </c>
      <c r="B461" s="468">
        <v>12</v>
      </c>
    </row>
    <row r="462" spans="1:2" s="90" customFormat="1">
      <c r="A462" s="468">
        <v>28</v>
      </c>
      <c r="B462" s="468">
        <v>23</v>
      </c>
    </row>
    <row r="463" spans="1:2" s="90" customFormat="1">
      <c r="A463" s="468">
        <v>53</v>
      </c>
      <c r="B463" s="468">
        <v>22</v>
      </c>
    </row>
    <row r="464" spans="1:2" s="90" customFormat="1">
      <c r="A464" s="468">
        <v>95</v>
      </c>
      <c r="B464" s="468">
        <v>18</v>
      </c>
    </row>
    <row r="465" spans="1:2" s="90" customFormat="1">
      <c r="A465" s="468">
        <v>57</v>
      </c>
      <c r="B465" s="468">
        <v>14</v>
      </c>
    </row>
    <row r="466" spans="1:2" s="90" customFormat="1">
      <c r="A466" s="468">
        <v>75</v>
      </c>
      <c r="B466" s="468">
        <v>18</v>
      </c>
    </row>
    <row r="467" spans="1:2" s="90" customFormat="1">
      <c r="A467" s="468">
        <v>28</v>
      </c>
      <c r="B467" s="468">
        <v>16</v>
      </c>
    </row>
    <row r="468" spans="1:2" s="90" customFormat="1">
      <c r="A468" s="468">
        <v>35</v>
      </c>
      <c r="B468" s="468">
        <v>19</v>
      </c>
    </row>
    <row r="469" spans="1:2" s="90" customFormat="1">
      <c r="A469" s="468">
        <v>31</v>
      </c>
      <c r="B469" s="468">
        <v>10</v>
      </c>
    </row>
    <row r="470" spans="1:2" s="90" customFormat="1">
      <c r="A470" s="468">
        <v>57</v>
      </c>
      <c r="B470" s="468">
        <v>13</v>
      </c>
    </row>
    <row r="471" spans="1:2" s="90" customFormat="1">
      <c r="A471" s="468">
        <v>71</v>
      </c>
      <c r="B471" s="468">
        <v>15</v>
      </c>
    </row>
    <row r="472" spans="1:2" s="90" customFormat="1">
      <c r="A472" s="468">
        <v>52</v>
      </c>
      <c r="B472" s="468">
        <v>28</v>
      </c>
    </row>
    <row r="473" spans="1:2" s="90" customFormat="1">
      <c r="A473" s="468">
        <v>75</v>
      </c>
      <c r="B473" s="468">
        <v>8</v>
      </c>
    </row>
    <row r="474" spans="1:2" s="90" customFormat="1">
      <c r="A474" s="468">
        <v>61</v>
      </c>
      <c r="B474" s="468">
        <v>20</v>
      </c>
    </row>
    <row r="475" spans="1:2" s="90" customFormat="1">
      <c r="A475" s="468">
        <v>57</v>
      </c>
      <c r="B475" s="468">
        <v>26</v>
      </c>
    </row>
    <row r="476" spans="1:2" s="90" customFormat="1">
      <c r="A476" s="468">
        <v>65</v>
      </c>
      <c r="B476" s="468">
        <v>14</v>
      </c>
    </row>
    <row r="477" spans="1:2" s="90" customFormat="1">
      <c r="A477" s="468">
        <v>22</v>
      </c>
      <c r="B477" s="468">
        <v>16</v>
      </c>
    </row>
    <row r="478" spans="1:2" s="90" customFormat="1">
      <c r="A478" s="468">
        <v>56</v>
      </c>
      <c r="B478" s="468">
        <v>12</v>
      </c>
    </row>
    <row r="479" spans="1:2" s="90" customFormat="1">
      <c r="A479" s="468">
        <v>41</v>
      </c>
      <c r="B479" s="468">
        <v>26</v>
      </c>
    </row>
    <row r="480" spans="1:2" s="90" customFormat="1">
      <c r="A480" s="468">
        <v>43</v>
      </c>
      <c r="B480" s="468">
        <v>15</v>
      </c>
    </row>
    <row r="481" spans="1:2" s="90" customFormat="1">
      <c r="A481" s="468">
        <v>55</v>
      </c>
      <c r="B481" s="468">
        <v>12</v>
      </c>
    </row>
    <row r="482" spans="1:2" s="90" customFormat="1">
      <c r="A482" s="468">
        <v>36</v>
      </c>
      <c r="B482" s="468">
        <v>30</v>
      </c>
    </row>
    <row r="483" spans="1:2" s="90" customFormat="1">
      <c r="A483" s="468">
        <v>63</v>
      </c>
      <c r="B483" s="468">
        <v>13</v>
      </c>
    </row>
    <row r="484" spans="1:2" s="90" customFormat="1">
      <c r="A484" s="468">
        <v>69</v>
      </c>
      <c r="B484" s="468">
        <v>14</v>
      </c>
    </row>
    <row r="485" spans="1:2" s="90" customFormat="1">
      <c r="A485" s="468">
        <v>37</v>
      </c>
      <c r="B485" s="468">
        <v>15</v>
      </c>
    </row>
    <row r="486" spans="1:2" s="90" customFormat="1">
      <c r="A486" s="468">
        <v>71</v>
      </c>
      <c r="B486" s="468">
        <v>10</v>
      </c>
    </row>
    <row r="487" spans="1:2" s="90" customFormat="1">
      <c r="A487" s="468">
        <v>33</v>
      </c>
      <c r="B487" s="468">
        <v>18</v>
      </c>
    </row>
    <row r="488" spans="1:2" s="90" customFormat="1">
      <c r="A488" s="468">
        <v>39</v>
      </c>
      <c r="B488" s="468">
        <v>14</v>
      </c>
    </row>
    <row r="489" spans="1:2" s="90" customFormat="1">
      <c r="A489" s="468">
        <v>64</v>
      </c>
      <c r="B489" s="468">
        <v>26</v>
      </c>
    </row>
    <row r="490" spans="1:2" s="90" customFormat="1">
      <c r="A490" s="468">
        <v>39</v>
      </c>
      <c r="B490" s="468">
        <v>19</v>
      </c>
    </row>
    <row r="491" spans="1:2" s="90" customFormat="1">
      <c r="A491" s="468">
        <v>39</v>
      </c>
      <c r="B491" s="468">
        <v>13</v>
      </c>
    </row>
    <row r="492" spans="1:2" s="90" customFormat="1">
      <c r="A492" s="468">
        <v>25</v>
      </c>
      <c r="B492" s="468">
        <v>16</v>
      </c>
    </row>
    <row r="493" spans="1:2" s="90" customFormat="1">
      <c r="A493" s="468">
        <v>38</v>
      </c>
      <c r="B493" s="468">
        <v>15</v>
      </c>
    </row>
    <row r="494" spans="1:2" s="90" customFormat="1">
      <c r="A494" s="468">
        <v>29</v>
      </c>
      <c r="B494" s="468">
        <v>13</v>
      </c>
    </row>
    <row r="495" spans="1:2" s="90" customFormat="1">
      <c r="A495" s="468">
        <v>56</v>
      </c>
      <c r="B495" s="468">
        <v>15</v>
      </c>
    </row>
    <row r="496" spans="1:2" s="90" customFormat="1">
      <c r="A496" s="468">
        <v>25</v>
      </c>
      <c r="B496" s="468">
        <v>22</v>
      </c>
    </row>
    <row r="497" spans="1:2" s="90" customFormat="1">
      <c r="A497" s="468">
        <v>38</v>
      </c>
      <c r="B497" s="468">
        <v>14</v>
      </c>
    </row>
    <row r="498" spans="1:2" s="90" customFormat="1">
      <c r="A498" s="468">
        <v>42</v>
      </c>
      <c r="B498" s="468">
        <v>11</v>
      </c>
    </row>
    <row r="499" spans="1:2" s="90" customFormat="1">
      <c r="A499" s="468">
        <v>65</v>
      </c>
      <c r="B499" s="468">
        <v>26</v>
      </c>
    </row>
  </sheetData>
  <pageMargins left="0.70866141732283472" right="0.70866141732283472" top="0.74803149606299213" bottom="0.74803149606299213" header="0.31496062992125984" footer="0.31496062992125984"/>
  <pageSetup paperSize="9" orientation="landscape" horizontalDpi="90" verticalDpi="90"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F5149-A13B-4087-A6D0-87772E8DD653}">
  <sheetPr>
    <pageSetUpPr fitToPage="1"/>
  </sheetPr>
  <dimension ref="A1:U553"/>
  <sheetViews>
    <sheetView topLeftCell="D513" zoomScale="70" zoomScaleNormal="70" workbookViewId="0">
      <selection activeCell="I50" sqref="I50:I549"/>
    </sheetView>
  </sheetViews>
  <sheetFormatPr defaultColWidth="8.7109375" defaultRowHeight="15"/>
  <cols>
    <col min="1" max="2" width="10.7109375" style="90" customWidth="1"/>
    <col min="3" max="3" width="11.140625" style="90" customWidth="1"/>
    <col min="4" max="4" width="11.28515625" style="90" customWidth="1"/>
    <col min="5" max="5" width="6" style="90" customWidth="1"/>
    <col min="6" max="6" width="23.7109375" style="91" bestFit="1" customWidth="1"/>
    <col min="7" max="7" width="12.7109375" style="91" bestFit="1" customWidth="1"/>
    <col min="8" max="8" width="14.5703125" style="91" bestFit="1" customWidth="1"/>
    <col min="9" max="9" width="18.5703125" style="91" bestFit="1" customWidth="1"/>
    <col min="10" max="10" width="12" style="91" bestFit="1" customWidth="1"/>
    <col min="11" max="11" width="20.140625" style="91" bestFit="1" customWidth="1"/>
    <col min="12" max="12" width="12.7109375" style="91" bestFit="1" customWidth="1"/>
    <col min="13" max="16384" width="8.7109375" style="91"/>
  </cols>
  <sheetData>
    <row r="1" spans="1:21" ht="21">
      <c r="A1" s="1060" t="s">
        <v>1015</v>
      </c>
      <c r="B1" s="101"/>
    </row>
    <row r="2" spans="1:21">
      <c r="A2" s="922"/>
      <c r="B2" s="922"/>
    </row>
    <row r="3" spans="1:21" ht="60">
      <c r="A3" s="469" t="s">
        <v>1016</v>
      </c>
      <c r="B3" s="469" t="s">
        <v>1017</v>
      </c>
      <c r="C3" s="469" t="s">
        <v>1018</v>
      </c>
      <c r="D3" s="469" t="s">
        <v>1019</v>
      </c>
      <c r="E3" s="92"/>
      <c r="M3" s="94"/>
      <c r="N3" s="94"/>
      <c r="O3" s="94"/>
      <c r="P3" s="94"/>
      <c r="Q3" s="94"/>
      <c r="R3" s="94"/>
      <c r="S3" s="94"/>
      <c r="T3" s="94"/>
      <c r="U3" s="95"/>
    </row>
    <row r="4" spans="1:21">
      <c r="A4" s="467">
        <v>4</v>
      </c>
      <c r="B4" s="467">
        <v>38</v>
      </c>
      <c r="C4" s="467">
        <v>2</v>
      </c>
      <c r="D4" s="467">
        <v>0</v>
      </c>
      <c r="M4" s="94"/>
      <c r="N4" s="94"/>
      <c r="O4" s="94"/>
      <c r="P4" s="94"/>
      <c r="Q4" s="94"/>
      <c r="R4" s="94"/>
      <c r="S4" s="94"/>
      <c r="T4" s="94"/>
      <c r="U4" s="95"/>
    </row>
    <row r="5" spans="1:21">
      <c r="A5" s="467">
        <v>9</v>
      </c>
      <c r="B5" s="467">
        <v>51</v>
      </c>
      <c r="C5" s="467">
        <v>5</v>
      </c>
      <c r="D5" s="467">
        <v>0</v>
      </c>
      <c r="M5" s="94"/>
      <c r="N5" s="94"/>
      <c r="O5" s="94"/>
      <c r="P5" s="94"/>
      <c r="Q5" s="94"/>
      <c r="R5" s="94"/>
      <c r="S5" s="94"/>
      <c r="T5" s="94"/>
      <c r="U5" s="95"/>
    </row>
    <row r="6" spans="1:21">
      <c r="A6" s="467">
        <v>6</v>
      </c>
      <c r="B6" s="467">
        <v>23</v>
      </c>
      <c r="C6" s="467">
        <v>4</v>
      </c>
      <c r="D6" s="467">
        <v>1</v>
      </c>
    </row>
    <row r="7" spans="1:21">
      <c r="A7" s="467">
        <v>5</v>
      </c>
      <c r="B7" s="467">
        <v>46</v>
      </c>
      <c r="C7" s="467">
        <v>3</v>
      </c>
      <c r="D7" s="467">
        <v>1</v>
      </c>
    </row>
    <row r="8" spans="1:21">
      <c r="A8" s="467">
        <v>5</v>
      </c>
      <c r="B8" s="467">
        <v>49</v>
      </c>
      <c r="C8" s="467">
        <v>3</v>
      </c>
      <c r="D8" s="467">
        <v>1</v>
      </c>
    </row>
    <row r="9" spans="1:21">
      <c r="A9" s="467">
        <v>5</v>
      </c>
      <c r="B9" s="467">
        <v>36</v>
      </c>
      <c r="C9" s="467">
        <v>3</v>
      </c>
      <c r="D9" s="467">
        <v>0</v>
      </c>
    </row>
    <row r="10" spans="1:21">
      <c r="A10" s="467">
        <v>4</v>
      </c>
      <c r="B10" s="467">
        <v>84</v>
      </c>
      <c r="C10" s="467">
        <v>2</v>
      </c>
      <c r="D10" s="467">
        <v>0</v>
      </c>
    </row>
    <row r="11" spans="1:21">
      <c r="A11" s="467">
        <v>4</v>
      </c>
      <c r="B11" s="467">
        <v>37</v>
      </c>
      <c r="C11" s="467">
        <v>2</v>
      </c>
      <c r="D11" s="467">
        <v>0</v>
      </c>
      <c r="E11" s="990"/>
    </row>
    <row r="12" spans="1:21">
      <c r="A12" s="467">
        <v>4</v>
      </c>
      <c r="B12" s="467">
        <v>52</v>
      </c>
      <c r="C12" s="467">
        <v>2</v>
      </c>
      <c r="D12" s="467">
        <v>0</v>
      </c>
    </row>
    <row r="13" spans="1:21">
      <c r="A13" s="467">
        <v>4</v>
      </c>
      <c r="B13" s="467">
        <v>53</v>
      </c>
      <c r="C13" s="467">
        <v>2</v>
      </c>
      <c r="D13" s="467">
        <v>0</v>
      </c>
    </row>
    <row r="14" spans="1:21">
      <c r="A14" s="467">
        <v>4</v>
      </c>
      <c r="B14" s="467">
        <v>24</v>
      </c>
      <c r="C14" s="467">
        <v>2</v>
      </c>
      <c r="D14" s="467">
        <v>0</v>
      </c>
    </row>
    <row r="15" spans="1:21">
      <c r="A15" s="467">
        <v>8</v>
      </c>
      <c r="B15" s="467">
        <v>35</v>
      </c>
      <c r="C15" s="467">
        <v>4</v>
      </c>
      <c r="D15" s="467">
        <v>0</v>
      </c>
    </row>
    <row r="16" spans="1:21">
      <c r="A16" s="467">
        <v>5</v>
      </c>
      <c r="B16" s="467">
        <v>28</v>
      </c>
      <c r="C16" s="467">
        <v>3</v>
      </c>
      <c r="D16" s="467">
        <v>0</v>
      </c>
    </row>
    <row r="17" spans="1:14">
      <c r="A17" s="467">
        <v>7</v>
      </c>
      <c r="B17" s="467">
        <v>26</v>
      </c>
      <c r="C17" s="467">
        <v>4</v>
      </c>
      <c r="D17" s="467">
        <v>2</v>
      </c>
    </row>
    <row r="18" spans="1:14">
      <c r="A18" s="467">
        <v>7</v>
      </c>
      <c r="B18" s="467">
        <v>43</v>
      </c>
      <c r="C18" s="467">
        <v>4</v>
      </c>
      <c r="D18" s="467">
        <v>1</v>
      </c>
    </row>
    <row r="19" spans="1:14">
      <c r="A19" s="467">
        <v>6</v>
      </c>
      <c r="B19" s="467">
        <v>51</v>
      </c>
      <c r="C19" s="467">
        <v>4</v>
      </c>
      <c r="D19" s="467">
        <v>1</v>
      </c>
    </row>
    <row r="20" spans="1:14">
      <c r="A20" s="467">
        <v>6</v>
      </c>
      <c r="B20" s="467">
        <v>63</v>
      </c>
      <c r="C20" s="467">
        <v>4</v>
      </c>
      <c r="D20" s="467">
        <v>0</v>
      </c>
      <c r="M20"/>
      <c r="N20"/>
    </row>
    <row r="21" spans="1:14">
      <c r="A21" s="467">
        <v>10</v>
      </c>
      <c r="B21" s="467">
        <v>59</v>
      </c>
      <c r="C21" s="467">
        <v>5</v>
      </c>
      <c r="D21" s="467">
        <v>0</v>
      </c>
      <c r="M21"/>
      <c r="N21"/>
    </row>
    <row r="22" spans="1:14">
      <c r="A22" s="467">
        <v>9</v>
      </c>
      <c r="B22" s="467">
        <v>53</v>
      </c>
      <c r="C22" s="467">
        <v>5</v>
      </c>
      <c r="D22" s="467">
        <v>0</v>
      </c>
      <c r="M22"/>
      <c r="N22"/>
    </row>
    <row r="23" spans="1:14">
      <c r="A23" s="467">
        <v>6</v>
      </c>
      <c r="B23" s="467">
        <v>55</v>
      </c>
      <c r="C23" s="467">
        <v>4</v>
      </c>
      <c r="D23" s="467">
        <v>1</v>
      </c>
      <c r="M23"/>
      <c r="N23"/>
    </row>
    <row r="24" spans="1:14">
      <c r="A24" s="467">
        <v>5</v>
      </c>
      <c r="B24" s="467">
        <v>71</v>
      </c>
      <c r="C24" s="467">
        <v>3</v>
      </c>
      <c r="D24" s="467">
        <v>0</v>
      </c>
      <c r="F24" t="s">
        <v>1020</v>
      </c>
      <c r="G24"/>
      <c r="H24"/>
      <c r="I24"/>
      <c r="J24"/>
      <c r="K24"/>
      <c r="L24"/>
      <c r="M24"/>
      <c r="N24"/>
    </row>
    <row r="25" spans="1:14" ht="15.75" thickBot="1">
      <c r="A25" s="467">
        <v>5</v>
      </c>
      <c r="B25" s="467">
        <v>33</v>
      </c>
      <c r="C25" s="467">
        <v>3</v>
      </c>
      <c r="D25" s="467">
        <v>0</v>
      </c>
      <c r="F25"/>
      <c r="G25"/>
      <c r="H25"/>
      <c r="I25"/>
      <c r="J25"/>
      <c r="K25"/>
      <c r="L25"/>
      <c r="M25"/>
      <c r="N25"/>
    </row>
    <row r="26" spans="1:14">
      <c r="A26" s="467">
        <v>3</v>
      </c>
      <c r="B26" s="467">
        <v>56</v>
      </c>
      <c r="C26" s="467">
        <v>0</v>
      </c>
      <c r="D26" s="467">
        <v>0</v>
      </c>
      <c r="F26" s="1073" t="s">
        <v>1021</v>
      </c>
      <c r="G26" s="1073"/>
      <c r="H26"/>
      <c r="I26"/>
      <c r="J26"/>
      <c r="K26"/>
      <c r="L26"/>
      <c r="M26"/>
      <c r="N26"/>
    </row>
    <row r="27" spans="1:14">
      <c r="A27" s="467">
        <v>8</v>
      </c>
      <c r="B27" s="467">
        <v>45</v>
      </c>
      <c r="C27" s="467">
        <v>4</v>
      </c>
      <c r="D27" s="467">
        <v>0</v>
      </c>
      <c r="F27" t="s">
        <v>1022</v>
      </c>
      <c r="G27" s="924">
        <v>0.89143312476849967</v>
      </c>
      <c r="H27"/>
      <c r="I27"/>
      <c r="J27"/>
      <c r="K27"/>
      <c r="L27"/>
      <c r="M27"/>
      <c r="N27"/>
    </row>
    <row r="28" spans="1:14">
      <c r="A28" s="467">
        <v>6</v>
      </c>
      <c r="B28" s="467">
        <v>24</v>
      </c>
      <c r="C28" s="467">
        <v>4</v>
      </c>
      <c r="D28" s="467">
        <v>1</v>
      </c>
      <c r="F28" t="s">
        <v>1023</v>
      </c>
      <c r="G28" s="924">
        <v>0.79465301593453141</v>
      </c>
      <c r="H28"/>
      <c r="I28"/>
      <c r="J28"/>
      <c r="K28"/>
      <c r="L28"/>
      <c r="M28"/>
      <c r="N28"/>
    </row>
    <row r="29" spans="1:14">
      <c r="A29" s="467">
        <v>4</v>
      </c>
      <c r="B29" s="467">
        <v>36</v>
      </c>
      <c r="C29" s="467">
        <v>2</v>
      </c>
      <c r="D29" s="467">
        <v>0</v>
      </c>
      <c r="F29" t="s">
        <v>1024</v>
      </c>
      <c r="G29" s="924">
        <v>0.79341099788574831</v>
      </c>
      <c r="H29"/>
      <c r="I29"/>
      <c r="J29"/>
      <c r="K29"/>
      <c r="L29"/>
      <c r="M29"/>
      <c r="N29"/>
    </row>
    <row r="30" spans="1:14">
      <c r="A30" s="467">
        <v>4</v>
      </c>
      <c r="B30" s="467">
        <v>65</v>
      </c>
      <c r="C30" s="467">
        <v>0</v>
      </c>
      <c r="D30" s="467">
        <v>0</v>
      </c>
      <c r="F30" t="s">
        <v>1025</v>
      </c>
      <c r="G30" s="924">
        <v>0.67179827805550185</v>
      </c>
      <c r="H30"/>
      <c r="I30"/>
      <c r="J30"/>
      <c r="K30"/>
      <c r="L30"/>
      <c r="M30"/>
      <c r="N30"/>
    </row>
    <row r="31" spans="1:14" ht="15.75" thickBot="1">
      <c r="A31" s="467">
        <v>10</v>
      </c>
      <c r="B31" s="467">
        <v>43</v>
      </c>
      <c r="C31" s="467">
        <v>5</v>
      </c>
      <c r="D31" s="467">
        <v>0</v>
      </c>
      <c r="F31" s="574" t="s">
        <v>1026</v>
      </c>
      <c r="G31" s="574">
        <v>500</v>
      </c>
      <c r="H31"/>
      <c r="I31"/>
      <c r="J31"/>
      <c r="K31"/>
      <c r="L31"/>
      <c r="M31"/>
      <c r="N31"/>
    </row>
    <row r="32" spans="1:14">
      <c r="A32" s="467">
        <v>8</v>
      </c>
      <c r="B32" s="467">
        <v>24</v>
      </c>
      <c r="C32" s="467">
        <v>4</v>
      </c>
      <c r="D32" s="467">
        <v>0</v>
      </c>
      <c r="F32"/>
      <c r="G32"/>
      <c r="H32"/>
      <c r="I32"/>
      <c r="J32"/>
      <c r="K32"/>
      <c r="L32"/>
      <c r="M32"/>
      <c r="N32"/>
    </row>
    <row r="33" spans="1:14" ht="15.75" thickBot="1">
      <c r="A33" s="467">
        <v>5</v>
      </c>
      <c r="B33" s="467">
        <v>56</v>
      </c>
      <c r="C33" s="467">
        <v>3</v>
      </c>
      <c r="D33" s="467">
        <v>0</v>
      </c>
      <c r="F33" t="s">
        <v>1027</v>
      </c>
      <c r="G33"/>
      <c r="H33"/>
      <c r="I33"/>
      <c r="J33"/>
      <c r="K33"/>
      <c r="L33"/>
      <c r="M33"/>
      <c r="N33"/>
    </row>
    <row r="34" spans="1:14" s="90" customFormat="1">
      <c r="A34" s="467">
        <v>9</v>
      </c>
      <c r="B34" s="467">
        <v>25</v>
      </c>
      <c r="C34" s="467">
        <v>5</v>
      </c>
      <c r="D34" s="467">
        <v>0</v>
      </c>
      <c r="F34" s="1072"/>
      <c r="G34" s="1072" t="s">
        <v>1028</v>
      </c>
      <c r="H34" s="1072" t="s">
        <v>1029</v>
      </c>
      <c r="I34" s="1072" t="s">
        <v>1030</v>
      </c>
      <c r="J34" s="1072" t="s">
        <v>625</v>
      </c>
      <c r="K34" s="1072" t="s">
        <v>1031</v>
      </c>
      <c r="L34"/>
      <c r="M34"/>
      <c r="N34"/>
    </row>
    <row r="35" spans="1:14" s="90" customFormat="1">
      <c r="A35" s="468">
        <v>6</v>
      </c>
      <c r="B35" s="468">
        <v>92</v>
      </c>
      <c r="C35" s="468">
        <v>4</v>
      </c>
      <c r="D35" s="468">
        <v>0</v>
      </c>
      <c r="F35" t="s">
        <v>1032</v>
      </c>
      <c r="G35">
        <v>3</v>
      </c>
      <c r="H35">
        <v>866.26078850642068</v>
      </c>
      <c r="I35">
        <v>288.75359616880689</v>
      </c>
      <c r="J35">
        <v>639.80794539429496</v>
      </c>
      <c r="K35">
        <v>4.9860449607733028E-170</v>
      </c>
      <c r="L35"/>
      <c r="M35"/>
      <c r="N35"/>
    </row>
    <row r="36" spans="1:14" s="90" customFormat="1">
      <c r="A36" s="468">
        <v>4</v>
      </c>
      <c r="B36" s="468">
        <v>39</v>
      </c>
      <c r="C36" s="468">
        <v>2</v>
      </c>
      <c r="D36" s="468">
        <v>0</v>
      </c>
      <c r="F36" t="s">
        <v>1033</v>
      </c>
      <c r="G36">
        <v>496</v>
      </c>
      <c r="H36">
        <v>223.85121149357533</v>
      </c>
      <c r="I36">
        <v>0.45131292639833737</v>
      </c>
      <c r="J36"/>
      <c r="K36"/>
      <c r="L36"/>
      <c r="M36"/>
      <c r="N36"/>
    </row>
    <row r="37" spans="1:14" s="90" customFormat="1" ht="15.75" thickBot="1">
      <c r="A37" s="468">
        <v>4</v>
      </c>
      <c r="B37" s="468">
        <v>18</v>
      </c>
      <c r="C37" s="468">
        <v>2</v>
      </c>
      <c r="D37" s="468">
        <v>0</v>
      </c>
      <c r="F37" s="574" t="s">
        <v>474</v>
      </c>
      <c r="G37" s="574">
        <v>499</v>
      </c>
      <c r="H37" s="574">
        <v>1090.111999999996</v>
      </c>
      <c r="I37" s="574"/>
      <c r="J37" s="574"/>
      <c r="K37" s="574"/>
      <c r="L37"/>
      <c r="M37"/>
      <c r="N37"/>
    </row>
    <row r="38" spans="1:14" s="90" customFormat="1" ht="15.75" thickBot="1">
      <c r="A38" s="468">
        <v>7</v>
      </c>
      <c r="B38" s="468">
        <v>31</v>
      </c>
      <c r="C38" s="468">
        <v>4</v>
      </c>
      <c r="D38" s="468">
        <v>0</v>
      </c>
      <c r="F38"/>
      <c r="G38"/>
      <c r="H38"/>
      <c r="I38"/>
      <c r="J38"/>
      <c r="K38"/>
      <c r="L38"/>
      <c r="M38"/>
      <c r="N38"/>
    </row>
    <row r="39" spans="1:14" s="90" customFormat="1">
      <c r="A39" s="468">
        <v>5</v>
      </c>
      <c r="B39" s="468">
        <v>47</v>
      </c>
      <c r="C39" s="468">
        <v>3</v>
      </c>
      <c r="D39" s="468">
        <v>1</v>
      </c>
      <c r="F39" s="1072"/>
      <c r="G39" s="1072" t="s">
        <v>1034</v>
      </c>
      <c r="H39" s="1072" t="s">
        <v>1025</v>
      </c>
      <c r="I39" s="1072" t="s">
        <v>1035</v>
      </c>
      <c r="J39" s="1072" t="s">
        <v>715</v>
      </c>
      <c r="K39" s="1072" t="s">
        <v>1036</v>
      </c>
      <c r="L39" s="1072" t="s">
        <v>1037</v>
      </c>
      <c r="M39"/>
      <c r="N39"/>
    </row>
    <row r="40" spans="1:14" s="90" customFormat="1">
      <c r="A40" s="468">
        <v>6</v>
      </c>
      <c r="B40" s="468">
        <v>142</v>
      </c>
      <c r="C40" s="468">
        <v>4</v>
      </c>
      <c r="D40" s="468">
        <v>1</v>
      </c>
      <c r="F40" t="s">
        <v>1038</v>
      </c>
      <c r="G40" s="923">
        <v>2.252136977248381</v>
      </c>
      <c r="H40" s="923">
        <v>0.10476267591011329</v>
      </c>
      <c r="I40" s="923">
        <v>21.497512904125529</v>
      </c>
      <c r="J40" s="924">
        <v>6.2532110146205423E-73</v>
      </c>
      <c r="K40" s="923">
        <v>2.0463036419799092</v>
      </c>
      <c r="L40" s="923">
        <v>2.4579703125168528</v>
      </c>
      <c r="M40"/>
      <c r="N40"/>
    </row>
    <row r="41" spans="1:14" s="90" customFormat="1">
      <c r="A41" s="468">
        <v>7</v>
      </c>
      <c r="B41" s="468">
        <v>46</v>
      </c>
      <c r="C41" s="468">
        <v>4</v>
      </c>
      <c r="D41" s="468">
        <v>0</v>
      </c>
      <c r="F41" t="s">
        <v>1017</v>
      </c>
      <c r="G41" s="923">
        <v>4.9793313803538942E-4</v>
      </c>
      <c r="H41" s="923">
        <v>1.3877394527533752E-3</v>
      </c>
      <c r="I41" s="923">
        <v>0.35880880740794258</v>
      </c>
      <c r="J41" s="924">
        <v>0.71989080233082592</v>
      </c>
      <c r="K41" s="923">
        <v>-2.22863944673663E-3</v>
      </c>
      <c r="L41" s="923">
        <v>3.2245057228074089E-3</v>
      </c>
      <c r="M41"/>
      <c r="N41"/>
    </row>
    <row r="42" spans="1:14" s="90" customFormat="1">
      <c r="A42" s="468">
        <v>5</v>
      </c>
      <c r="B42" s="468">
        <v>53</v>
      </c>
      <c r="C42" s="468">
        <v>3</v>
      </c>
      <c r="D42" s="468">
        <v>2</v>
      </c>
      <c r="F42" t="s">
        <v>1018</v>
      </c>
      <c r="G42" s="923">
        <v>1.0859985897136482</v>
      </c>
      <c r="H42" s="923">
        <v>2.5822480458165441E-2</v>
      </c>
      <c r="I42" s="923">
        <v>42.056323422262082</v>
      </c>
      <c r="J42" s="924">
        <v>1.1030302492196191E-165</v>
      </c>
      <c r="K42" s="923">
        <v>1.0352636573397411</v>
      </c>
      <c r="L42" s="923">
        <v>1.1367335220875552</v>
      </c>
      <c r="M42"/>
      <c r="N42"/>
    </row>
    <row r="43" spans="1:14" s="90" customFormat="1" ht="15.75" thickBot="1">
      <c r="A43" s="468">
        <v>3</v>
      </c>
      <c r="B43" s="468">
        <v>55</v>
      </c>
      <c r="C43" s="468">
        <v>0</v>
      </c>
      <c r="D43" s="468">
        <v>0</v>
      </c>
      <c r="F43" s="574" t="s">
        <v>1019</v>
      </c>
      <c r="G43" s="1074">
        <v>-0.24252370871503298</v>
      </c>
      <c r="H43" s="1074">
        <v>4.9240777085798333E-2</v>
      </c>
      <c r="I43" s="1074">
        <v>-4.9252616036593766</v>
      </c>
      <c r="J43" s="925">
        <v>1.1495379183165655E-6</v>
      </c>
      <c r="K43" s="1074">
        <v>-0.33926993336738348</v>
      </c>
      <c r="L43" s="1074">
        <v>-0.14577748406268248</v>
      </c>
      <c r="M43"/>
      <c r="N43"/>
    </row>
    <row r="44" spans="1:14" s="90" customFormat="1">
      <c r="A44" s="468">
        <v>7</v>
      </c>
      <c r="B44" s="468">
        <v>67</v>
      </c>
      <c r="C44" s="468">
        <v>4</v>
      </c>
      <c r="D44" s="468">
        <v>2</v>
      </c>
      <c r="F44"/>
      <c r="G44"/>
      <c r="H44"/>
      <c r="I44"/>
      <c r="J44"/>
      <c r="K44"/>
      <c r="L44"/>
      <c r="M44"/>
      <c r="N44"/>
    </row>
    <row r="45" spans="1:14" s="90" customFormat="1">
      <c r="A45" s="468">
        <v>7</v>
      </c>
      <c r="B45" s="468">
        <v>35</v>
      </c>
      <c r="C45" s="468">
        <v>4</v>
      </c>
      <c r="D45" s="468">
        <v>1</v>
      </c>
      <c r="F45"/>
      <c r="G45"/>
      <c r="H45"/>
      <c r="I45"/>
      <c r="J45"/>
      <c r="K45"/>
      <c r="L45"/>
      <c r="M45"/>
      <c r="N45"/>
    </row>
    <row r="46" spans="1:14" s="90" customFormat="1">
      <c r="A46" s="468">
        <v>6</v>
      </c>
      <c r="B46" s="468">
        <v>27</v>
      </c>
      <c r="C46" s="468">
        <v>4</v>
      </c>
      <c r="D46" s="468">
        <v>1</v>
      </c>
      <c r="F46"/>
      <c r="G46"/>
      <c r="H46"/>
      <c r="I46"/>
      <c r="J46"/>
      <c r="K46"/>
      <c r="L46"/>
      <c r="M46"/>
      <c r="N46"/>
    </row>
    <row r="47" spans="1:14" s="90" customFormat="1">
      <c r="A47" s="468">
        <v>5</v>
      </c>
      <c r="B47" s="468">
        <v>16</v>
      </c>
      <c r="C47" s="468">
        <v>3</v>
      </c>
      <c r="D47" s="468">
        <v>1</v>
      </c>
      <c r="F47" t="s">
        <v>1039</v>
      </c>
      <c r="G47"/>
      <c r="H47"/>
      <c r="I47"/>
      <c r="J47"/>
      <c r="K47" t="s">
        <v>1040</v>
      </c>
      <c r="L47"/>
      <c r="M47"/>
      <c r="N47"/>
    </row>
    <row r="48" spans="1:14" s="90" customFormat="1" ht="15.75" thickBot="1">
      <c r="A48" s="468">
        <v>8</v>
      </c>
      <c r="B48" s="468">
        <v>21</v>
      </c>
      <c r="C48" s="468">
        <v>4</v>
      </c>
      <c r="D48" s="468">
        <v>0</v>
      </c>
      <c r="F48"/>
      <c r="G48"/>
      <c r="H48"/>
      <c r="I48"/>
      <c r="J48"/>
      <c r="K48"/>
      <c r="L48"/>
      <c r="M48"/>
      <c r="N48"/>
    </row>
    <row r="49" spans="1:14" s="90" customFormat="1">
      <c r="A49" s="468">
        <v>6</v>
      </c>
      <c r="B49" s="468">
        <v>69</v>
      </c>
      <c r="C49" s="468">
        <v>4</v>
      </c>
      <c r="D49" s="468">
        <v>1</v>
      </c>
      <c r="F49" s="1072" t="s">
        <v>1041</v>
      </c>
      <c r="G49" s="1072" t="s">
        <v>1042</v>
      </c>
      <c r="H49" s="1072" t="s">
        <v>1043</v>
      </c>
      <c r="I49" s="1072" t="s">
        <v>1044</v>
      </c>
      <c r="J49"/>
      <c r="K49" s="1072" t="s">
        <v>1045</v>
      </c>
      <c r="L49" s="1072" t="s">
        <v>1016</v>
      </c>
      <c r="M49"/>
      <c r="N49"/>
    </row>
    <row r="50" spans="1:14" s="90" customFormat="1">
      <c r="A50" s="468">
        <v>4</v>
      </c>
      <c r="B50" s="468">
        <v>30</v>
      </c>
      <c r="C50" s="468">
        <v>2</v>
      </c>
      <c r="D50" s="468">
        <v>0</v>
      </c>
      <c r="F50">
        <v>1</v>
      </c>
      <c r="G50">
        <v>4.4430556159210219</v>
      </c>
      <c r="H50">
        <v>-0.44305561592102194</v>
      </c>
      <c r="I50">
        <v>-0.66149839384735099</v>
      </c>
      <c r="J50"/>
      <c r="K50">
        <v>0.1</v>
      </c>
      <c r="L50">
        <v>3</v>
      </c>
      <c r="M50"/>
      <c r="N50"/>
    </row>
    <row r="51" spans="1:14" s="90" customFormat="1">
      <c r="A51" s="468">
        <v>3</v>
      </c>
      <c r="B51" s="468">
        <v>95</v>
      </c>
      <c r="C51" s="468">
        <v>0</v>
      </c>
      <c r="D51" s="468">
        <v>0</v>
      </c>
      <c r="F51">
        <v>2</v>
      </c>
      <c r="G51">
        <v>7.7075245158564272</v>
      </c>
      <c r="H51">
        <v>1.2924754841435728</v>
      </c>
      <c r="I51">
        <v>1.9297136208752081</v>
      </c>
      <c r="J51"/>
      <c r="K51">
        <v>0.30000000000000004</v>
      </c>
      <c r="L51">
        <v>3</v>
      </c>
      <c r="M51"/>
      <c r="N51"/>
    </row>
    <row r="52" spans="1:14" s="90" customFormat="1">
      <c r="A52" s="468">
        <v>4</v>
      </c>
      <c r="B52" s="468">
        <v>28</v>
      </c>
      <c r="C52" s="468">
        <v>2</v>
      </c>
      <c r="D52" s="468">
        <v>0</v>
      </c>
      <c r="F52">
        <v>3</v>
      </c>
      <c r="G52">
        <v>6.3650600895627543</v>
      </c>
      <c r="H52">
        <v>-0.36506008956275426</v>
      </c>
      <c r="I52">
        <v>-0.54504819310670671</v>
      </c>
      <c r="J52"/>
      <c r="K52">
        <v>0.5</v>
      </c>
      <c r="L52">
        <v>3</v>
      </c>
      <c r="M52"/>
      <c r="N52"/>
    </row>
    <row r="53" spans="1:14" s="90" customFormat="1">
      <c r="A53" s="468">
        <v>9</v>
      </c>
      <c r="B53" s="468">
        <v>46</v>
      </c>
      <c r="C53" s="468">
        <v>5</v>
      </c>
      <c r="D53" s="468">
        <v>0</v>
      </c>
      <c r="F53">
        <v>4</v>
      </c>
      <c r="G53">
        <v>5.2905139620239208</v>
      </c>
      <c r="H53">
        <v>-0.29051396202392077</v>
      </c>
      <c r="I53">
        <v>-0.43374807216823652</v>
      </c>
      <c r="J53"/>
      <c r="K53">
        <v>0.70000000000000007</v>
      </c>
      <c r="L53">
        <v>3</v>
      </c>
      <c r="M53"/>
      <c r="N53"/>
    </row>
    <row r="54" spans="1:14" s="90" customFormat="1">
      <c r="A54" s="468">
        <v>3</v>
      </c>
      <c r="B54" s="468">
        <v>72</v>
      </c>
      <c r="C54" s="468">
        <v>0</v>
      </c>
      <c r="D54" s="468">
        <v>0</v>
      </c>
      <c r="F54">
        <v>5</v>
      </c>
      <c r="G54">
        <v>5.2920077614380263</v>
      </c>
      <c r="H54">
        <v>-0.29200776143802631</v>
      </c>
      <c r="I54">
        <v>-0.43597836985018051</v>
      </c>
      <c r="J54"/>
      <c r="K54">
        <v>0.9</v>
      </c>
      <c r="L54">
        <v>3</v>
      </c>
      <c r="M54"/>
      <c r="N54"/>
    </row>
    <row r="55" spans="1:14" s="90" customFormat="1">
      <c r="A55" s="468">
        <v>5</v>
      </c>
      <c r="B55" s="468">
        <v>53</v>
      </c>
      <c r="C55" s="468">
        <v>3</v>
      </c>
      <c r="D55" s="468">
        <v>2</v>
      </c>
      <c r="F55">
        <v>6</v>
      </c>
      <c r="G55">
        <v>5.5280583393585996</v>
      </c>
      <c r="H55">
        <v>-0.52805833935859958</v>
      </c>
      <c r="I55">
        <v>-0.78841059855943718</v>
      </c>
      <c r="J55"/>
      <c r="K55">
        <v>1.1000000000000001</v>
      </c>
      <c r="L55">
        <v>3</v>
      </c>
      <c r="M55"/>
      <c r="N55"/>
    </row>
    <row r="56" spans="1:14" s="90" customFormat="1">
      <c r="A56" s="468">
        <v>6</v>
      </c>
      <c r="B56" s="468">
        <v>59</v>
      </c>
      <c r="C56" s="468">
        <v>4</v>
      </c>
      <c r="D56" s="468">
        <v>1</v>
      </c>
      <c r="F56">
        <v>7</v>
      </c>
      <c r="G56">
        <v>4.4659605402706504</v>
      </c>
      <c r="H56">
        <v>-0.46596054027065037</v>
      </c>
      <c r="I56">
        <v>-0.69569629163717417</v>
      </c>
      <c r="J56"/>
      <c r="K56">
        <v>1.3000000000000003</v>
      </c>
      <c r="L56">
        <v>3</v>
      </c>
      <c r="M56"/>
      <c r="N56"/>
    </row>
    <row r="57" spans="1:14" s="90" customFormat="1">
      <c r="A57" s="468">
        <v>6</v>
      </c>
      <c r="B57" s="468">
        <v>23</v>
      </c>
      <c r="C57" s="468">
        <v>4</v>
      </c>
      <c r="D57" s="468">
        <v>1</v>
      </c>
      <c r="F57">
        <v>8</v>
      </c>
      <c r="G57">
        <v>4.4425576827829865</v>
      </c>
      <c r="H57">
        <v>-0.44255768278298646</v>
      </c>
      <c r="I57">
        <v>-0.66075496128670252</v>
      </c>
      <c r="J57"/>
      <c r="K57">
        <v>1.5000000000000002</v>
      </c>
      <c r="L57">
        <v>3</v>
      </c>
      <c r="M57"/>
      <c r="N57"/>
    </row>
    <row r="58" spans="1:14" s="90" customFormat="1">
      <c r="A58" s="468">
        <v>8</v>
      </c>
      <c r="B58" s="468">
        <v>27</v>
      </c>
      <c r="C58" s="468">
        <v>4</v>
      </c>
      <c r="D58" s="468">
        <v>0</v>
      </c>
      <c r="F58">
        <v>9</v>
      </c>
      <c r="G58">
        <v>4.4500266798535177</v>
      </c>
      <c r="H58">
        <v>-0.45002667985351774</v>
      </c>
      <c r="I58">
        <v>-0.67190644969642788</v>
      </c>
      <c r="J58"/>
      <c r="K58">
        <v>1.7000000000000002</v>
      </c>
      <c r="L58">
        <v>3</v>
      </c>
      <c r="M58"/>
      <c r="N58"/>
    </row>
    <row r="59" spans="1:14" s="90" customFormat="1">
      <c r="A59" s="468">
        <v>3</v>
      </c>
      <c r="B59" s="468">
        <v>41</v>
      </c>
      <c r="C59" s="468">
        <v>0</v>
      </c>
      <c r="D59" s="468">
        <v>0</v>
      </c>
      <c r="F59">
        <v>10</v>
      </c>
      <c r="G59">
        <v>4.4505246129915523</v>
      </c>
      <c r="H59">
        <v>-0.45052461299155233</v>
      </c>
      <c r="I59">
        <v>-0.672649882257075</v>
      </c>
      <c r="J59"/>
      <c r="K59">
        <v>1.9000000000000001</v>
      </c>
      <c r="L59">
        <v>3</v>
      </c>
      <c r="M59"/>
      <c r="N59"/>
    </row>
    <row r="60" spans="1:14" s="90" customFormat="1">
      <c r="A60" s="468">
        <v>6</v>
      </c>
      <c r="B60" s="468">
        <v>62</v>
      </c>
      <c r="C60" s="468">
        <v>4</v>
      </c>
      <c r="D60" s="468">
        <v>1</v>
      </c>
      <c r="F60">
        <v>11</v>
      </c>
      <c r="G60">
        <v>4.436084551988527</v>
      </c>
      <c r="H60">
        <v>-0.43608455198852702</v>
      </c>
      <c r="I60">
        <v>-0.65109033799827543</v>
      </c>
      <c r="J60"/>
      <c r="K60">
        <v>2.1</v>
      </c>
      <c r="L60">
        <v>3</v>
      </c>
      <c r="M60"/>
      <c r="N60"/>
    </row>
    <row r="61" spans="1:14" s="90" customFormat="1">
      <c r="A61" s="468">
        <v>7</v>
      </c>
      <c r="B61" s="468">
        <v>44</v>
      </c>
      <c r="C61" s="468">
        <v>4</v>
      </c>
      <c r="D61" s="468">
        <v>2</v>
      </c>
      <c r="F61">
        <v>12</v>
      </c>
      <c r="G61">
        <v>6.6135589959342127</v>
      </c>
      <c r="H61">
        <v>1.3864410040657873</v>
      </c>
      <c r="I61">
        <v>2.0700076116789639</v>
      </c>
      <c r="J61"/>
      <c r="K61">
        <v>2.3000000000000003</v>
      </c>
      <c r="L61">
        <v>3</v>
      </c>
      <c r="M61"/>
      <c r="N61"/>
    </row>
    <row r="62" spans="1:14" s="90" customFormat="1">
      <c r="A62" s="468">
        <v>7</v>
      </c>
      <c r="B62" s="468">
        <v>45</v>
      </c>
      <c r="C62" s="468">
        <v>4</v>
      </c>
      <c r="D62" s="468">
        <v>1</v>
      </c>
      <c r="F62">
        <v>13</v>
      </c>
      <c r="G62">
        <v>5.5240748742543158</v>
      </c>
      <c r="H62">
        <v>-0.52407487425431576</v>
      </c>
      <c r="I62">
        <v>-0.78246313807424961</v>
      </c>
      <c r="J62"/>
      <c r="K62">
        <v>2.5000000000000004</v>
      </c>
      <c r="L62">
        <v>3</v>
      </c>
      <c r="M62"/>
      <c r="N62"/>
    </row>
    <row r="63" spans="1:14" s="90" customFormat="1">
      <c r="A63" s="468">
        <v>3</v>
      </c>
      <c r="B63" s="468">
        <v>18</v>
      </c>
      <c r="C63" s="468">
        <v>0</v>
      </c>
      <c r="D63" s="468">
        <v>0</v>
      </c>
      <c r="F63">
        <v>14</v>
      </c>
      <c r="G63">
        <v>6.1240301802618271</v>
      </c>
      <c r="H63">
        <v>0.87596981973817289</v>
      </c>
      <c r="I63">
        <v>1.307855284964601</v>
      </c>
      <c r="J63"/>
      <c r="K63">
        <v>2.7</v>
      </c>
      <c r="L63">
        <v>3</v>
      </c>
      <c r="M63"/>
      <c r="N63"/>
    </row>
    <row r="64" spans="1:14" s="90" customFormat="1">
      <c r="A64" s="468">
        <v>6</v>
      </c>
      <c r="B64" s="468">
        <v>36</v>
      </c>
      <c r="C64" s="468">
        <v>4</v>
      </c>
      <c r="D64" s="468">
        <v>1</v>
      </c>
      <c r="F64">
        <v>15</v>
      </c>
      <c r="G64">
        <v>6.375018752323462</v>
      </c>
      <c r="H64">
        <v>0.62498124767653795</v>
      </c>
      <c r="I64">
        <v>0.93312007943589481</v>
      </c>
      <c r="J64"/>
      <c r="K64">
        <v>2.9000000000000004</v>
      </c>
      <c r="L64">
        <v>3</v>
      </c>
      <c r="M64"/>
      <c r="N64"/>
    </row>
    <row r="65" spans="1:14" s="90" customFormat="1">
      <c r="A65" s="468">
        <v>5</v>
      </c>
      <c r="B65" s="468">
        <v>18</v>
      </c>
      <c r="C65" s="468">
        <v>3</v>
      </c>
      <c r="D65" s="468">
        <v>0</v>
      </c>
      <c r="F65">
        <v>16</v>
      </c>
      <c r="G65">
        <v>6.3790022174277459</v>
      </c>
      <c r="H65">
        <v>-0.37900221742774587</v>
      </c>
      <c r="I65">
        <v>-0.5658643048048605</v>
      </c>
      <c r="J65"/>
      <c r="K65">
        <v>3.1</v>
      </c>
      <c r="L65">
        <v>3</v>
      </c>
      <c r="M65"/>
      <c r="N65"/>
    </row>
    <row r="66" spans="1:14" s="90" customFormat="1">
      <c r="A66" s="468">
        <v>4</v>
      </c>
      <c r="B66" s="468">
        <v>105</v>
      </c>
      <c r="C66" s="468">
        <v>2</v>
      </c>
      <c r="D66" s="468">
        <v>0</v>
      </c>
      <c r="F66">
        <v>17</v>
      </c>
      <c r="G66">
        <v>6.6275011237992025</v>
      </c>
      <c r="H66">
        <v>-0.62750112379920253</v>
      </c>
      <c r="I66">
        <v>-0.93688234753032307</v>
      </c>
      <c r="J66"/>
      <c r="K66">
        <v>3.3000000000000003</v>
      </c>
      <c r="L66">
        <v>3</v>
      </c>
      <c r="M66"/>
      <c r="N66"/>
    </row>
    <row r="67" spans="1:14" s="90" customFormat="1">
      <c r="A67" s="468">
        <v>6</v>
      </c>
      <c r="B67" s="468">
        <v>51</v>
      </c>
      <c r="C67" s="468">
        <v>4</v>
      </c>
      <c r="D67" s="468">
        <v>1</v>
      </c>
      <c r="F67">
        <v>18</v>
      </c>
      <c r="G67">
        <v>7.7115079809607101</v>
      </c>
      <c r="H67">
        <v>2.2884920190392899</v>
      </c>
      <c r="I67">
        <v>3.4168030841455899</v>
      </c>
      <c r="J67"/>
      <c r="K67">
        <v>3.5000000000000004</v>
      </c>
      <c r="L67">
        <v>3</v>
      </c>
      <c r="M67"/>
      <c r="N67"/>
    </row>
    <row r="68" spans="1:14" s="90" customFormat="1">
      <c r="A68" s="468">
        <v>5</v>
      </c>
      <c r="B68" s="468">
        <v>62</v>
      </c>
      <c r="C68" s="468">
        <v>3</v>
      </c>
      <c r="D68" s="468">
        <v>0</v>
      </c>
      <c r="F68">
        <v>19</v>
      </c>
      <c r="G68">
        <v>7.7085203821324981</v>
      </c>
      <c r="H68">
        <v>1.2914796178675019</v>
      </c>
      <c r="I68">
        <v>1.9282267557539112</v>
      </c>
      <c r="J68"/>
      <c r="K68">
        <v>3.7</v>
      </c>
      <c r="L68">
        <v>3</v>
      </c>
      <c r="M68"/>
      <c r="N68"/>
    </row>
    <row r="69" spans="1:14" s="90" customFormat="1">
      <c r="A69" s="468">
        <v>4</v>
      </c>
      <c r="B69" s="468">
        <v>64</v>
      </c>
      <c r="C69" s="468">
        <v>2</v>
      </c>
      <c r="D69" s="468">
        <v>0</v>
      </c>
      <c r="F69">
        <v>20</v>
      </c>
      <c r="G69">
        <v>6.3809939499798878</v>
      </c>
      <c r="H69">
        <v>-0.38099394997988778</v>
      </c>
      <c r="I69">
        <v>-0.56883803504745434</v>
      </c>
      <c r="J69"/>
      <c r="K69">
        <v>3.9000000000000004</v>
      </c>
      <c r="L69">
        <v>3</v>
      </c>
      <c r="M69"/>
      <c r="N69"/>
    </row>
    <row r="70" spans="1:14" s="90" customFormat="1">
      <c r="A70" s="468">
        <v>6</v>
      </c>
      <c r="B70" s="468">
        <v>45</v>
      </c>
      <c r="C70" s="468">
        <v>4</v>
      </c>
      <c r="D70" s="468">
        <v>1</v>
      </c>
      <c r="F70">
        <v>21</v>
      </c>
      <c r="G70">
        <v>5.5454859991898378</v>
      </c>
      <c r="H70">
        <v>-0.54548599918983776</v>
      </c>
      <c r="I70">
        <v>-0.81443073818212752</v>
      </c>
      <c r="J70"/>
      <c r="K70">
        <v>4.0999999999999996</v>
      </c>
      <c r="L70">
        <v>3</v>
      </c>
      <c r="M70"/>
      <c r="N70"/>
    </row>
    <row r="71" spans="1:14" s="90" customFormat="1">
      <c r="A71" s="468">
        <v>7</v>
      </c>
      <c r="B71" s="468">
        <v>59</v>
      </c>
      <c r="C71" s="468">
        <v>4</v>
      </c>
      <c r="D71" s="468">
        <v>0</v>
      </c>
      <c r="F71">
        <v>22</v>
      </c>
      <c r="G71">
        <v>5.5265645399444931</v>
      </c>
      <c r="H71">
        <v>-0.52656453994449315</v>
      </c>
      <c r="I71">
        <v>-0.78618030087749191</v>
      </c>
      <c r="J71"/>
      <c r="K71">
        <v>4.3</v>
      </c>
      <c r="L71">
        <v>3</v>
      </c>
      <c r="M71"/>
      <c r="N71"/>
    </row>
    <row r="72" spans="1:14" s="90" customFormat="1">
      <c r="A72" s="468">
        <v>5</v>
      </c>
      <c r="B72" s="468">
        <v>18</v>
      </c>
      <c r="C72" s="468">
        <v>3</v>
      </c>
      <c r="D72" s="468">
        <v>0</v>
      </c>
      <c r="F72">
        <v>23</v>
      </c>
      <c r="G72">
        <v>2.2800212329783629</v>
      </c>
      <c r="H72">
        <v>0.7199787670216371</v>
      </c>
      <c r="I72">
        <v>1.0749548834833118</v>
      </c>
      <c r="J72"/>
      <c r="K72">
        <v>4.5</v>
      </c>
      <c r="L72">
        <v>3</v>
      </c>
      <c r="M72"/>
      <c r="N72"/>
    </row>
    <row r="73" spans="1:14" s="90" customFormat="1">
      <c r="A73" s="468">
        <v>5</v>
      </c>
      <c r="B73" s="468">
        <v>51</v>
      </c>
      <c r="C73" s="468">
        <v>3</v>
      </c>
      <c r="D73" s="468">
        <v>0</v>
      </c>
      <c r="F73">
        <v>24</v>
      </c>
      <c r="G73">
        <v>6.6185383273145657</v>
      </c>
      <c r="H73">
        <v>1.3814616726854343</v>
      </c>
      <c r="I73">
        <v>2.0625732860724821</v>
      </c>
      <c r="J73"/>
      <c r="K73">
        <v>4.7</v>
      </c>
      <c r="L73">
        <v>3</v>
      </c>
      <c r="M73"/>
      <c r="N73"/>
    </row>
    <row r="74" spans="1:14" s="90" customFormat="1">
      <c r="A74" s="468">
        <v>4</v>
      </c>
      <c r="B74" s="468">
        <v>64</v>
      </c>
      <c r="C74" s="468">
        <v>2</v>
      </c>
      <c r="D74" s="468">
        <v>1</v>
      </c>
      <c r="F74">
        <v>25</v>
      </c>
      <c r="G74">
        <v>6.3655580227007897</v>
      </c>
      <c r="H74">
        <v>-0.36555802270078974</v>
      </c>
      <c r="I74">
        <v>-0.54579162566735517</v>
      </c>
      <c r="J74"/>
      <c r="K74">
        <v>4.9000000000000004</v>
      </c>
      <c r="L74">
        <v>3</v>
      </c>
      <c r="M74"/>
      <c r="N74"/>
    </row>
    <row r="75" spans="1:14" s="90" customFormat="1">
      <c r="A75" s="468">
        <v>7</v>
      </c>
      <c r="B75" s="468">
        <v>45</v>
      </c>
      <c r="C75" s="468">
        <v>4</v>
      </c>
      <c r="D75" s="468">
        <v>0</v>
      </c>
      <c r="F75">
        <v>26</v>
      </c>
      <c r="G75">
        <v>4.442059749644951</v>
      </c>
      <c r="H75">
        <v>-0.44205974964495098</v>
      </c>
      <c r="I75">
        <v>-0.66001152872605406</v>
      </c>
      <c r="J75"/>
      <c r="K75">
        <v>5.0999999999999996</v>
      </c>
      <c r="L75">
        <v>3</v>
      </c>
      <c r="M75"/>
      <c r="N75"/>
    </row>
    <row r="76" spans="1:14" s="90" customFormat="1">
      <c r="A76" s="468">
        <v>5</v>
      </c>
      <c r="B76" s="468">
        <v>35</v>
      </c>
      <c r="C76" s="468">
        <v>3</v>
      </c>
      <c r="D76" s="468">
        <v>0</v>
      </c>
      <c r="F76">
        <v>27</v>
      </c>
      <c r="G76">
        <v>2.2845026312206813</v>
      </c>
      <c r="H76">
        <v>1.7154973687793187</v>
      </c>
      <c r="I76">
        <v>2.561300914193045</v>
      </c>
      <c r="J76"/>
      <c r="K76">
        <v>5.3</v>
      </c>
      <c r="L76">
        <v>3</v>
      </c>
      <c r="M76"/>
      <c r="N76"/>
    </row>
    <row r="77" spans="1:14" s="90" customFormat="1">
      <c r="A77" s="468">
        <v>7</v>
      </c>
      <c r="B77" s="468">
        <v>32</v>
      </c>
      <c r="C77" s="468">
        <v>4</v>
      </c>
      <c r="D77" s="468">
        <v>0</v>
      </c>
      <c r="F77">
        <v>28</v>
      </c>
      <c r="G77">
        <v>7.7035410507521433</v>
      </c>
      <c r="H77">
        <v>2.2964589492478567</v>
      </c>
      <c r="I77">
        <v>3.4286980051159635</v>
      </c>
      <c r="J77"/>
      <c r="K77">
        <v>5.5</v>
      </c>
      <c r="L77">
        <v>3</v>
      </c>
      <c r="M77"/>
      <c r="N77"/>
    </row>
    <row r="78" spans="1:14" s="90" customFormat="1">
      <c r="A78" s="468">
        <v>5</v>
      </c>
      <c r="B78" s="468">
        <v>37</v>
      </c>
      <c r="C78" s="468">
        <v>3</v>
      </c>
      <c r="D78" s="468">
        <v>0</v>
      </c>
      <c r="F78">
        <v>29</v>
      </c>
      <c r="G78">
        <v>6.6080817314158224</v>
      </c>
      <c r="H78">
        <v>1.3919182685841776</v>
      </c>
      <c r="I78">
        <v>2.0781853698460968</v>
      </c>
      <c r="J78"/>
      <c r="K78">
        <v>5.7</v>
      </c>
      <c r="L78">
        <v>3</v>
      </c>
      <c r="M78"/>
      <c r="N78"/>
    </row>
    <row r="79" spans="1:14" s="90" customFormat="1">
      <c r="A79" s="468">
        <v>5</v>
      </c>
      <c r="B79" s="468">
        <v>42</v>
      </c>
      <c r="C79" s="468">
        <v>3</v>
      </c>
      <c r="D79" s="468">
        <v>1</v>
      </c>
      <c r="F79">
        <v>30</v>
      </c>
      <c r="G79">
        <v>5.5380170021193074</v>
      </c>
      <c r="H79">
        <v>-0.53801700211930736</v>
      </c>
      <c r="I79">
        <v>-0.8032792497724035</v>
      </c>
      <c r="J79"/>
      <c r="K79">
        <v>5.9</v>
      </c>
      <c r="L79">
        <v>3</v>
      </c>
      <c r="M79"/>
      <c r="N79"/>
    </row>
    <row r="80" spans="1:14" s="90" customFormat="1">
      <c r="A80" s="468">
        <v>6</v>
      </c>
      <c r="B80" s="468">
        <v>54</v>
      </c>
      <c r="C80" s="468">
        <v>4</v>
      </c>
      <c r="D80" s="468">
        <v>1</v>
      </c>
      <c r="F80">
        <v>31</v>
      </c>
      <c r="G80">
        <v>7.6945782542675065</v>
      </c>
      <c r="H80">
        <v>1.3054217457324935</v>
      </c>
      <c r="I80">
        <v>1.949042867452065</v>
      </c>
      <c r="J80"/>
      <c r="K80">
        <v>6.1</v>
      </c>
      <c r="L80">
        <v>3</v>
      </c>
      <c r="M80"/>
      <c r="N80"/>
    </row>
    <row r="81" spans="1:14" s="90" customFormat="1">
      <c r="A81" s="468">
        <v>5</v>
      </c>
      <c r="B81" s="468">
        <v>70</v>
      </c>
      <c r="C81" s="468">
        <v>3</v>
      </c>
      <c r="D81" s="468">
        <v>1</v>
      </c>
      <c r="F81">
        <v>32</v>
      </c>
      <c r="G81">
        <v>6.6419411848022296</v>
      </c>
      <c r="H81">
        <v>-0.64194118480222961</v>
      </c>
      <c r="I81">
        <v>-0.95844189178912531</v>
      </c>
      <c r="J81"/>
      <c r="K81">
        <v>6.3</v>
      </c>
      <c r="L81">
        <v>3</v>
      </c>
      <c r="M81"/>
      <c r="N81"/>
    </row>
    <row r="82" spans="1:14" s="90" customFormat="1">
      <c r="A82" s="468">
        <v>7</v>
      </c>
      <c r="B82" s="468">
        <v>68</v>
      </c>
      <c r="C82" s="468">
        <v>4</v>
      </c>
      <c r="D82" s="468">
        <v>0</v>
      </c>
      <c r="F82">
        <v>33</v>
      </c>
      <c r="G82">
        <v>4.4435535490590574</v>
      </c>
      <c r="H82">
        <v>-0.44355354905905742</v>
      </c>
      <c r="I82">
        <v>-0.66224182640799945</v>
      </c>
      <c r="J82"/>
      <c r="K82">
        <v>6.5</v>
      </c>
      <c r="L82">
        <v>3</v>
      </c>
      <c r="M82"/>
      <c r="N82"/>
    </row>
    <row r="83" spans="1:14" s="90" customFormat="1">
      <c r="A83" s="468">
        <v>4</v>
      </c>
      <c r="B83" s="468">
        <v>42</v>
      </c>
      <c r="C83" s="468">
        <v>2</v>
      </c>
      <c r="D83" s="468">
        <v>0</v>
      </c>
      <c r="F83">
        <v>34</v>
      </c>
      <c r="G83">
        <v>4.4330969531603142</v>
      </c>
      <c r="H83">
        <v>-0.43309695316031416</v>
      </c>
      <c r="I83">
        <v>-0.64662974263438466</v>
      </c>
      <c r="J83"/>
      <c r="K83">
        <v>6.7</v>
      </c>
      <c r="L83">
        <v>3</v>
      </c>
      <c r="M83"/>
      <c r="N83"/>
    </row>
    <row r="84" spans="1:14" s="90" customFormat="1">
      <c r="A84" s="468">
        <v>7</v>
      </c>
      <c r="B84" s="468">
        <v>83</v>
      </c>
      <c r="C84" s="468">
        <v>4</v>
      </c>
      <c r="D84" s="468">
        <v>0</v>
      </c>
      <c r="F84">
        <v>35</v>
      </c>
      <c r="G84">
        <v>6.6115672633820708</v>
      </c>
      <c r="H84">
        <v>0.38843273661792921</v>
      </c>
      <c r="I84">
        <v>0.57994441816598974</v>
      </c>
      <c r="J84"/>
      <c r="K84">
        <v>6.9</v>
      </c>
      <c r="L84">
        <v>3</v>
      </c>
      <c r="M84"/>
      <c r="N84"/>
    </row>
    <row r="85" spans="1:14" s="90" customFormat="1">
      <c r="A85" s="468">
        <v>4</v>
      </c>
      <c r="B85" s="468">
        <v>55</v>
      </c>
      <c r="C85" s="468">
        <v>0</v>
      </c>
      <c r="D85" s="468">
        <v>0</v>
      </c>
      <c r="F85">
        <v>36</v>
      </c>
      <c r="G85">
        <v>5.2910118951619562</v>
      </c>
      <c r="H85">
        <v>-0.29101189516195625</v>
      </c>
      <c r="I85">
        <v>-0.43449150472888498</v>
      </c>
      <c r="J85"/>
      <c r="K85">
        <v>7.1</v>
      </c>
      <c r="L85">
        <v>3</v>
      </c>
      <c r="M85"/>
      <c r="N85"/>
    </row>
    <row r="86" spans="1:14" s="90" customFormat="1">
      <c r="A86" s="468">
        <v>6</v>
      </c>
      <c r="B86" s="468">
        <v>38</v>
      </c>
      <c r="C86" s="468">
        <v>4</v>
      </c>
      <c r="D86" s="468">
        <v>1</v>
      </c>
      <c r="F86">
        <v>37</v>
      </c>
      <c r="G86">
        <v>6.4243141329889664</v>
      </c>
      <c r="H86">
        <v>-0.42431413298896636</v>
      </c>
      <c r="I86">
        <v>-0.63351666782385718</v>
      </c>
      <c r="J86"/>
      <c r="K86">
        <v>7.3</v>
      </c>
      <c r="L86">
        <v>3</v>
      </c>
      <c r="M86"/>
      <c r="N86"/>
    </row>
    <row r="87" spans="1:14" s="90" customFormat="1">
      <c r="A87" s="468">
        <v>6</v>
      </c>
      <c r="B87" s="468">
        <v>37</v>
      </c>
      <c r="C87" s="468">
        <v>4</v>
      </c>
      <c r="D87" s="468">
        <v>1</v>
      </c>
      <c r="F87">
        <v>38</v>
      </c>
      <c r="G87">
        <v>6.6190362604526012</v>
      </c>
      <c r="H87">
        <v>0.38096373954739882</v>
      </c>
      <c r="I87">
        <v>0.56879292975626572</v>
      </c>
      <c r="J87"/>
      <c r="K87">
        <v>7.5</v>
      </c>
      <c r="L87">
        <v>3</v>
      </c>
      <c r="M87"/>
      <c r="N87"/>
    </row>
    <row r="88" spans="1:14" s="90" customFormat="1">
      <c r="A88" s="468">
        <v>4</v>
      </c>
      <c r="B88" s="468">
        <v>45</v>
      </c>
      <c r="C88" s="468">
        <v>2</v>
      </c>
      <c r="D88" s="468">
        <v>1</v>
      </c>
      <c r="F88">
        <v>39</v>
      </c>
      <c r="G88">
        <v>5.0514757852751346</v>
      </c>
      <c r="H88">
        <v>-5.1475785275134633E-2</v>
      </c>
      <c r="I88">
        <v>-7.6855248095089174E-2</v>
      </c>
      <c r="J88"/>
      <c r="K88">
        <v>7.7</v>
      </c>
      <c r="L88">
        <v>3</v>
      </c>
      <c r="M88"/>
      <c r="N88"/>
    </row>
    <row r="89" spans="1:14" s="90" customFormat="1">
      <c r="A89" s="468">
        <v>4</v>
      </c>
      <c r="B89" s="468">
        <v>70</v>
      </c>
      <c r="C89" s="468">
        <v>2</v>
      </c>
      <c r="D89" s="468">
        <v>1</v>
      </c>
      <c r="F89">
        <v>40</v>
      </c>
      <c r="G89">
        <v>2.2795232998403274</v>
      </c>
      <c r="H89">
        <v>0.72047670015967258</v>
      </c>
      <c r="I89">
        <v>1.0756983160439602</v>
      </c>
      <c r="J89"/>
      <c r="K89">
        <v>7.9</v>
      </c>
      <c r="L89">
        <v>3</v>
      </c>
      <c r="M89"/>
      <c r="N89"/>
    </row>
    <row r="90" spans="1:14" s="90" customFormat="1">
      <c r="A90" s="468">
        <v>6</v>
      </c>
      <c r="B90" s="468">
        <v>39</v>
      </c>
      <c r="C90" s="468">
        <v>4</v>
      </c>
      <c r="D90" s="468">
        <v>1</v>
      </c>
      <c r="F90">
        <v>41</v>
      </c>
      <c r="G90">
        <v>6.1444454389212781</v>
      </c>
      <c r="H90">
        <v>0.85555456107872185</v>
      </c>
      <c r="I90">
        <v>1.27737454997802</v>
      </c>
      <c r="J90"/>
      <c r="K90">
        <v>8.1</v>
      </c>
      <c r="L90">
        <v>3</v>
      </c>
      <c r="M90"/>
      <c r="N90"/>
    </row>
    <row r="91" spans="1:14" s="90" customFormat="1">
      <c r="A91" s="468">
        <v>5</v>
      </c>
      <c r="B91" s="468">
        <v>17</v>
      </c>
      <c r="C91" s="468">
        <v>3</v>
      </c>
      <c r="D91" s="468">
        <v>1</v>
      </c>
      <c r="F91">
        <v>42</v>
      </c>
      <c r="G91">
        <v>6.37103528721918</v>
      </c>
      <c r="H91">
        <v>0.62896471278082</v>
      </c>
      <c r="I91">
        <v>0.93906753992107972</v>
      </c>
      <c r="J91"/>
      <c r="K91">
        <v>8.3000000000000007</v>
      </c>
      <c r="L91">
        <v>3</v>
      </c>
      <c r="M91"/>
      <c r="N91"/>
    </row>
    <row r="92" spans="1:14" s="90" customFormat="1">
      <c r="A92" s="468">
        <v>5</v>
      </c>
      <c r="B92" s="468">
        <v>52</v>
      </c>
      <c r="C92" s="468">
        <v>3</v>
      </c>
      <c r="D92" s="468">
        <v>0</v>
      </c>
      <c r="F92">
        <v>43</v>
      </c>
      <c r="G92">
        <v>6.3670518221148962</v>
      </c>
      <c r="H92">
        <v>-0.36705182211489618</v>
      </c>
      <c r="I92">
        <v>-0.54802192334930044</v>
      </c>
      <c r="J92"/>
      <c r="K92">
        <v>8.5</v>
      </c>
      <c r="L92">
        <v>3</v>
      </c>
      <c r="M92"/>
      <c r="N92"/>
    </row>
    <row r="93" spans="1:14" s="90" customFormat="1">
      <c r="A93" s="468">
        <v>6</v>
      </c>
      <c r="B93" s="468">
        <v>63</v>
      </c>
      <c r="C93" s="468">
        <v>4</v>
      </c>
      <c r="D93" s="468">
        <v>1</v>
      </c>
      <c r="F93">
        <v>44</v>
      </c>
      <c r="G93">
        <v>5.2755759678828591</v>
      </c>
      <c r="H93">
        <v>-0.2755759678828591</v>
      </c>
      <c r="I93">
        <v>-0.41144509534878709</v>
      </c>
      <c r="J93"/>
      <c r="K93">
        <v>8.6999999999999993</v>
      </c>
      <c r="L93">
        <v>4</v>
      </c>
      <c r="M93"/>
      <c r="N93"/>
    </row>
    <row r="94" spans="1:14" s="90" customFormat="1">
      <c r="A94" s="468">
        <v>6</v>
      </c>
      <c r="B94" s="468">
        <v>59</v>
      </c>
      <c r="C94" s="468">
        <v>4</v>
      </c>
      <c r="D94" s="468">
        <v>1</v>
      </c>
      <c r="F94">
        <v>45</v>
      </c>
      <c r="G94">
        <v>6.6065879320017169</v>
      </c>
      <c r="H94">
        <v>1.3934120679982831</v>
      </c>
      <c r="I94">
        <v>2.0804156675280407</v>
      </c>
      <c r="J94"/>
      <c r="K94">
        <v>8.9</v>
      </c>
      <c r="L94">
        <v>4</v>
      </c>
      <c r="M94"/>
      <c r="N94"/>
    </row>
    <row r="95" spans="1:14" s="90" customFormat="1">
      <c r="A95" s="468">
        <v>4</v>
      </c>
      <c r="B95" s="468">
        <v>56</v>
      </c>
      <c r="C95" s="468">
        <v>2</v>
      </c>
      <c r="D95" s="468">
        <v>0</v>
      </c>
      <c r="F95">
        <v>46</v>
      </c>
      <c r="G95">
        <v>6.3879650139123827</v>
      </c>
      <c r="H95">
        <v>-0.38796501391238269</v>
      </c>
      <c r="I95">
        <v>-0.5792460908965299</v>
      </c>
      <c r="J95"/>
      <c r="K95">
        <v>9.1</v>
      </c>
      <c r="L95">
        <v>4</v>
      </c>
      <c r="M95"/>
      <c r="N95"/>
    </row>
    <row r="96" spans="1:14" s="90" customFormat="1">
      <c r="A96" s="468">
        <v>3</v>
      </c>
      <c r="B96" s="468">
        <v>31</v>
      </c>
      <c r="C96" s="468">
        <v>0</v>
      </c>
      <c r="D96" s="468">
        <v>0</v>
      </c>
      <c r="F96">
        <v>47</v>
      </c>
      <c r="G96">
        <v>4.439072150816739</v>
      </c>
      <c r="H96">
        <v>-0.439072150816739</v>
      </c>
      <c r="I96">
        <v>-0.65555093336216474</v>
      </c>
      <c r="J96"/>
      <c r="K96">
        <v>9.3000000000000007</v>
      </c>
      <c r="L96">
        <v>4</v>
      </c>
      <c r="M96"/>
      <c r="N96"/>
    </row>
    <row r="97" spans="1:14" s="90" customFormat="1">
      <c r="A97" s="468">
        <v>4</v>
      </c>
      <c r="B97" s="468">
        <v>78</v>
      </c>
      <c r="C97" s="468">
        <v>2</v>
      </c>
      <c r="D97" s="468">
        <v>0</v>
      </c>
      <c r="F97">
        <v>48</v>
      </c>
      <c r="G97">
        <v>2.299440625361743</v>
      </c>
      <c r="H97">
        <v>0.70055937463825702</v>
      </c>
      <c r="I97">
        <v>1.0459610136180275</v>
      </c>
      <c r="J97"/>
      <c r="K97">
        <v>9.5</v>
      </c>
      <c r="L97">
        <v>4</v>
      </c>
      <c r="M97"/>
      <c r="N97"/>
    </row>
    <row r="98" spans="1:14" s="90" customFormat="1">
      <c r="A98" s="468">
        <v>6</v>
      </c>
      <c r="B98" s="468">
        <v>27</v>
      </c>
      <c r="C98" s="468">
        <v>4</v>
      </c>
      <c r="D98" s="468">
        <v>1</v>
      </c>
      <c r="F98">
        <v>49</v>
      </c>
      <c r="G98">
        <v>4.438076284540668</v>
      </c>
      <c r="H98">
        <v>-0.43807628454066805</v>
      </c>
      <c r="I98">
        <v>-0.65406406824086782</v>
      </c>
      <c r="J98"/>
      <c r="K98">
        <v>9.7000000000000011</v>
      </c>
      <c r="L98">
        <v>4</v>
      </c>
      <c r="M98"/>
      <c r="N98"/>
    </row>
    <row r="99" spans="1:14" s="90" customFormat="1">
      <c r="A99" s="468">
        <v>5</v>
      </c>
      <c r="B99" s="468">
        <v>72</v>
      </c>
      <c r="C99" s="468">
        <v>3</v>
      </c>
      <c r="D99" s="468">
        <v>1</v>
      </c>
      <c r="F99">
        <v>50</v>
      </c>
      <c r="G99">
        <v>7.7050348501662498</v>
      </c>
      <c r="H99">
        <v>1.2949651498337502</v>
      </c>
      <c r="I99">
        <v>1.9334307836784503</v>
      </c>
      <c r="J99"/>
      <c r="K99">
        <v>9.9</v>
      </c>
      <c r="L99">
        <v>4</v>
      </c>
      <c r="M99"/>
      <c r="N99"/>
    </row>
    <row r="100" spans="1:14" s="90" customFormat="1">
      <c r="A100" s="468">
        <v>8</v>
      </c>
      <c r="B100" s="468">
        <v>70</v>
      </c>
      <c r="C100" s="468">
        <v>4</v>
      </c>
      <c r="D100" s="468">
        <v>0</v>
      </c>
      <c r="F100">
        <v>51</v>
      </c>
      <c r="G100">
        <v>2.2879881631869292</v>
      </c>
      <c r="H100">
        <v>0.71201183681307079</v>
      </c>
      <c r="I100">
        <v>1.0630599625129387</v>
      </c>
      <c r="J100"/>
      <c r="K100">
        <v>10.1</v>
      </c>
      <c r="L100">
        <v>4</v>
      </c>
      <c r="M100"/>
      <c r="N100"/>
    </row>
    <row r="101" spans="1:14" s="90" customFormat="1">
      <c r="A101" s="468">
        <v>5</v>
      </c>
      <c r="B101" s="468">
        <v>47</v>
      </c>
      <c r="C101" s="468">
        <v>3</v>
      </c>
      <c r="D101" s="468">
        <v>0</v>
      </c>
      <c r="F101">
        <v>52</v>
      </c>
      <c r="G101">
        <v>5.0514757852751346</v>
      </c>
      <c r="H101">
        <v>-5.1475785275134633E-2</v>
      </c>
      <c r="I101">
        <v>-7.6855248095089174E-2</v>
      </c>
      <c r="J101"/>
      <c r="K101">
        <v>10.3</v>
      </c>
      <c r="L101">
        <v>4</v>
      </c>
      <c r="M101"/>
      <c r="N101"/>
    </row>
    <row r="102" spans="1:14" s="90" customFormat="1">
      <c r="A102" s="468">
        <v>5</v>
      </c>
      <c r="B102" s="468">
        <v>72</v>
      </c>
      <c r="C102" s="468">
        <v>3</v>
      </c>
      <c r="D102" s="468">
        <v>0</v>
      </c>
      <c r="F102">
        <v>53</v>
      </c>
      <c r="G102">
        <v>6.3829856825320288</v>
      </c>
      <c r="H102">
        <v>-0.3829856825320288</v>
      </c>
      <c r="I102">
        <v>-0.57181176529004674</v>
      </c>
      <c r="J102"/>
      <c r="K102">
        <v>10.5</v>
      </c>
      <c r="L102">
        <v>4</v>
      </c>
      <c r="M102"/>
      <c r="N102"/>
    </row>
    <row r="103" spans="1:14" s="90" customFormat="1">
      <c r="A103" s="468">
        <v>6</v>
      </c>
      <c r="B103" s="468">
        <v>55</v>
      </c>
      <c r="C103" s="468">
        <v>4</v>
      </c>
      <c r="D103" s="468">
        <v>0</v>
      </c>
      <c r="F103">
        <v>54</v>
      </c>
      <c r="G103">
        <v>6.3650600895627543</v>
      </c>
      <c r="H103">
        <v>-0.36506008956275426</v>
      </c>
      <c r="I103">
        <v>-0.54504819310670671</v>
      </c>
      <c r="J103"/>
      <c r="K103">
        <v>10.700000000000001</v>
      </c>
      <c r="L103">
        <v>4</v>
      </c>
      <c r="M103"/>
      <c r="N103"/>
    </row>
    <row r="104" spans="1:14" s="90" customFormat="1">
      <c r="A104" s="468">
        <v>6</v>
      </c>
      <c r="B104" s="468">
        <v>74</v>
      </c>
      <c r="C104" s="468">
        <v>4</v>
      </c>
      <c r="D104" s="468">
        <v>0</v>
      </c>
      <c r="F104">
        <v>55</v>
      </c>
      <c r="G104">
        <v>6.6095755308299289</v>
      </c>
      <c r="H104">
        <v>1.3904244691700711</v>
      </c>
      <c r="I104">
        <v>2.0759550721641515</v>
      </c>
      <c r="J104"/>
      <c r="K104">
        <v>10.9</v>
      </c>
      <c r="L104">
        <v>4</v>
      </c>
      <c r="M104"/>
      <c r="N104"/>
    </row>
    <row r="105" spans="1:14" s="90" customFormat="1">
      <c r="A105" s="468">
        <v>6</v>
      </c>
      <c r="B105" s="468">
        <v>87</v>
      </c>
      <c r="C105" s="468">
        <v>4</v>
      </c>
      <c r="D105" s="468">
        <v>0</v>
      </c>
      <c r="F105">
        <v>56</v>
      </c>
      <c r="G105">
        <v>2.2725522359078321</v>
      </c>
      <c r="H105">
        <v>0.72744776409216794</v>
      </c>
      <c r="I105">
        <v>1.0861063718930364</v>
      </c>
      <c r="J105"/>
      <c r="K105">
        <v>11.1</v>
      </c>
      <c r="L105">
        <v>4</v>
      </c>
      <c r="M105"/>
      <c r="N105"/>
    </row>
    <row r="106" spans="1:14" s="90" customFormat="1">
      <c r="A106" s="468">
        <v>6</v>
      </c>
      <c r="B106" s="468">
        <v>15</v>
      </c>
      <c r="C106" s="468">
        <v>4</v>
      </c>
      <c r="D106" s="468">
        <v>0</v>
      </c>
      <c r="F106">
        <v>57</v>
      </c>
      <c r="G106">
        <v>6.3844794819461352</v>
      </c>
      <c r="H106">
        <v>-0.38447948194613524</v>
      </c>
      <c r="I106">
        <v>-0.57404206297199212</v>
      </c>
      <c r="J106"/>
      <c r="K106">
        <v>11.3</v>
      </c>
      <c r="L106">
        <v>4</v>
      </c>
      <c r="M106"/>
      <c r="N106"/>
    </row>
    <row r="107" spans="1:14" s="90" customFormat="1">
      <c r="A107" s="468">
        <v>6</v>
      </c>
      <c r="B107" s="468">
        <v>60</v>
      </c>
      <c r="C107" s="468">
        <v>4</v>
      </c>
      <c r="D107" s="468">
        <v>0</v>
      </c>
      <c r="F107">
        <v>58</v>
      </c>
      <c r="G107">
        <v>6.1329929767464639</v>
      </c>
      <c r="H107">
        <v>0.86700702325353607</v>
      </c>
      <c r="I107">
        <v>1.2944734988729316</v>
      </c>
      <c r="J107"/>
      <c r="K107">
        <v>11.5</v>
      </c>
      <c r="L107">
        <v>4</v>
      </c>
      <c r="M107"/>
      <c r="N107"/>
    </row>
    <row r="108" spans="1:14" s="90" customFormat="1">
      <c r="A108" s="468">
        <v>7</v>
      </c>
      <c r="B108" s="468">
        <v>41</v>
      </c>
      <c r="C108" s="468">
        <v>4</v>
      </c>
      <c r="D108" s="468">
        <v>0</v>
      </c>
      <c r="F108">
        <v>59</v>
      </c>
      <c r="G108">
        <v>6.376014618599533</v>
      </c>
      <c r="H108">
        <v>0.623985381400467</v>
      </c>
      <c r="I108">
        <v>0.931633214314598</v>
      </c>
      <c r="J108"/>
      <c r="K108">
        <v>11.700000000000001</v>
      </c>
      <c r="L108">
        <v>4</v>
      </c>
      <c r="M108"/>
      <c r="N108"/>
    </row>
    <row r="109" spans="1:14" s="90" customFormat="1">
      <c r="A109" s="468">
        <v>7</v>
      </c>
      <c r="B109" s="468">
        <v>35</v>
      </c>
      <c r="C109" s="468">
        <v>4</v>
      </c>
      <c r="D109" s="468">
        <v>0</v>
      </c>
      <c r="F109">
        <v>60</v>
      </c>
      <c r="G109">
        <v>2.2610997737330178</v>
      </c>
      <c r="H109">
        <v>0.73890022626698215</v>
      </c>
      <c r="I109">
        <v>1.103205320787948</v>
      </c>
      <c r="J109"/>
      <c r="K109">
        <v>11.9</v>
      </c>
      <c r="L109">
        <v>4</v>
      </c>
      <c r="M109"/>
      <c r="N109"/>
    </row>
    <row r="110" spans="1:14" s="90" customFormat="1">
      <c r="A110" s="468">
        <v>7</v>
      </c>
      <c r="B110" s="468">
        <v>24</v>
      </c>
      <c r="C110" s="468">
        <v>4</v>
      </c>
      <c r="D110" s="468">
        <v>0</v>
      </c>
      <c r="F110">
        <v>61</v>
      </c>
      <c r="G110">
        <v>6.3715332203572155</v>
      </c>
      <c r="H110">
        <v>-0.37153322035721548</v>
      </c>
      <c r="I110">
        <v>-0.55471281639513648</v>
      </c>
      <c r="J110"/>
      <c r="K110">
        <v>12.1</v>
      </c>
      <c r="L110">
        <v>4</v>
      </c>
      <c r="M110"/>
      <c r="N110"/>
    </row>
    <row r="111" spans="1:14" s="90" customFormat="1">
      <c r="A111" s="468">
        <v>7</v>
      </c>
      <c r="B111" s="468">
        <v>48</v>
      </c>
      <c r="C111" s="468">
        <v>4</v>
      </c>
      <c r="D111" s="468">
        <v>0</v>
      </c>
      <c r="F111">
        <v>62</v>
      </c>
      <c r="G111">
        <v>5.5190955428739628</v>
      </c>
      <c r="H111">
        <v>-0.51909554287396276</v>
      </c>
      <c r="I111">
        <v>-0.77502881246776778</v>
      </c>
      <c r="J111"/>
      <c r="K111">
        <v>12.3</v>
      </c>
      <c r="L111">
        <v>4</v>
      </c>
      <c r="M111"/>
      <c r="N111"/>
    </row>
    <row r="112" spans="1:14" s="90" customFormat="1">
      <c r="A112" s="468">
        <v>7</v>
      </c>
      <c r="B112" s="468">
        <v>73</v>
      </c>
      <c r="C112" s="468">
        <v>4</v>
      </c>
      <c r="D112" s="468">
        <v>0</v>
      </c>
      <c r="F112">
        <v>63</v>
      </c>
      <c r="G112">
        <v>4.4764171361693936</v>
      </c>
      <c r="H112">
        <v>-0.47641713616939363</v>
      </c>
      <c r="I112">
        <v>-0.71130837541078895</v>
      </c>
      <c r="J112"/>
      <c r="K112">
        <v>12.5</v>
      </c>
      <c r="L112">
        <v>4</v>
      </c>
      <c r="M112"/>
      <c r="N112"/>
    </row>
    <row r="113" spans="1:14" s="90" customFormat="1">
      <c r="A113" s="468">
        <v>5</v>
      </c>
      <c r="B113" s="468">
        <v>17</v>
      </c>
      <c r="C113" s="468">
        <v>3</v>
      </c>
      <c r="D113" s="468">
        <v>1</v>
      </c>
      <c r="F113">
        <v>64</v>
      </c>
      <c r="G113">
        <v>6.3790022174277459</v>
      </c>
      <c r="H113">
        <v>-0.37900221742774587</v>
      </c>
      <c r="I113">
        <v>-0.5658643048048605</v>
      </c>
      <c r="J113"/>
      <c r="K113">
        <v>12.700000000000001</v>
      </c>
      <c r="L113">
        <v>4</v>
      </c>
      <c r="M113"/>
      <c r="N113"/>
    </row>
    <row r="114" spans="1:14" s="90" customFormat="1">
      <c r="A114" s="468">
        <v>6</v>
      </c>
      <c r="B114" s="468">
        <v>60</v>
      </c>
      <c r="C114" s="468">
        <v>4</v>
      </c>
      <c r="D114" s="468">
        <v>0</v>
      </c>
      <c r="F114">
        <v>65</v>
      </c>
      <c r="G114">
        <v>5.5410046009475202</v>
      </c>
      <c r="H114">
        <v>-0.54100460094752023</v>
      </c>
      <c r="I114">
        <v>-0.80773984513629415</v>
      </c>
      <c r="J114"/>
      <c r="K114">
        <v>12.9</v>
      </c>
      <c r="L114">
        <v>4</v>
      </c>
      <c r="M114"/>
      <c r="N114"/>
    </row>
    <row r="115" spans="1:14" s="90" customFormat="1">
      <c r="A115" s="468">
        <v>5</v>
      </c>
      <c r="B115" s="468">
        <v>48</v>
      </c>
      <c r="C115" s="468">
        <v>3</v>
      </c>
      <c r="D115" s="468">
        <v>1</v>
      </c>
      <c r="F115">
        <v>66</v>
      </c>
      <c r="G115">
        <v>4.4560018775099426</v>
      </c>
      <c r="H115">
        <v>-0.45600187750994259</v>
      </c>
      <c r="I115">
        <v>-0.68082764042420796</v>
      </c>
      <c r="J115"/>
      <c r="K115">
        <v>13.1</v>
      </c>
      <c r="L115">
        <v>4</v>
      </c>
      <c r="M115"/>
      <c r="N115"/>
    </row>
    <row r="116" spans="1:14" s="90" customFormat="1">
      <c r="A116" s="468">
        <v>4</v>
      </c>
      <c r="B116" s="468">
        <v>55</v>
      </c>
      <c r="C116" s="468">
        <v>2</v>
      </c>
      <c r="D116" s="468">
        <v>0</v>
      </c>
      <c r="F116">
        <v>67</v>
      </c>
      <c r="G116">
        <v>6.376014618599533</v>
      </c>
      <c r="H116">
        <v>-0.376014618599533</v>
      </c>
      <c r="I116">
        <v>-0.56140370944096984</v>
      </c>
      <c r="J116"/>
      <c r="K116">
        <v>13.3</v>
      </c>
      <c r="L116">
        <v>4</v>
      </c>
      <c r="M116"/>
      <c r="N116"/>
    </row>
    <row r="117" spans="1:14" s="90" customFormat="1">
      <c r="A117" s="468">
        <v>3</v>
      </c>
      <c r="B117" s="468">
        <v>71</v>
      </c>
      <c r="C117" s="468">
        <v>0</v>
      </c>
      <c r="D117" s="468">
        <v>0</v>
      </c>
      <c r="F117">
        <v>68</v>
      </c>
      <c r="G117">
        <v>6.6255093912470615</v>
      </c>
      <c r="H117">
        <v>0.37449060875293849</v>
      </c>
      <c r="I117">
        <v>0.55912830646783718</v>
      </c>
      <c r="J117"/>
      <c r="K117">
        <v>13.5</v>
      </c>
      <c r="L117">
        <v>4</v>
      </c>
      <c r="M117"/>
      <c r="N117"/>
    </row>
    <row r="118" spans="1:14" s="90" customFormat="1">
      <c r="A118" s="468">
        <v>4</v>
      </c>
      <c r="B118" s="468">
        <v>39</v>
      </c>
      <c r="C118" s="468">
        <v>2</v>
      </c>
      <c r="D118" s="468">
        <v>1</v>
      </c>
      <c r="F118">
        <v>69</v>
      </c>
      <c r="G118">
        <v>5.5190955428739628</v>
      </c>
      <c r="H118">
        <v>-0.51909554287396276</v>
      </c>
      <c r="I118">
        <v>-0.77502881246776778</v>
      </c>
      <c r="J118"/>
      <c r="K118">
        <v>13.700000000000001</v>
      </c>
      <c r="L118">
        <v>4</v>
      </c>
      <c r="M118"/>
      <c r="N118"/>
    </row>
    <row r="119" spans="1:14" s="90" customFormat="1">
      <c r="A119" s="468">
        <v>3</v>
      </c>
      <c r="B119" s="468">
        <v>41</v>
      </c>
      <c r="C119" s="468">
        <v>0</v>
      </c>
      <c r="D119" s="468">
        <v>0</v>
      </c>
      <c r="F119">
        <v>70</v>
      </c>
      <c r="G119">
        <v>5.53552733642913</v>
      </c>
      <c r="H119">
        <v>-0.53552733642912997</v>
      </c>
      <c r="I119">
        <v>-0.7995620869691612</v>
      </c>
      <c r="J119"/>
      <c r="K119">
        <v>13.9</v>
      </c>
      <c r="L119">
        <v>4</v>
      </c>
      <c r="M119"/>
      <c r="N119"/>
    </row>
    <row r="120" spans="1:14" s="90" customFormat="1">
      <c r="A120" s="468">
        <v>5</v>
      </c>
      <c r="B120" s="468">
        <v>53</v>
      </c>
      <c r="C120" s="468">
        <v>3</v>
      </c>
      <c r="D120" s="468">
        <v>0</v>
      </c>
      <c r="F120">
        <v>71</v>
      </c>
      <c r="G120">
        <v>4.2134781687949099</v>
      </c>
      <c r="H120">
        <v>-0.21347816879490988</v>
      </c>
      <c r="I120">
        <v>-0.31873078842652408</v>
      </c>
      <c r="J120"/>
      <c r="K120">
        <v>14.1</v>
      </c>
      <c r="L120">
        <v>4</v>
      </c>
      <c r="M120"/>
      <c r="N120"/>
    </row>
    <row r="121" spans="1:14" s="90" customFormat="1">
      <c r="A121" s="468">
        <v>4</v>
      </c>
      <c r="B121" s="468">
        <v>61</v>
      </c>
      <c r="C121" s="468">
        <v>2</v>
      </c>
      <c r="D121" s="468">
        <v>0</v>
      </c>
      <c r="F121">
        <v>72</v>
      </c>
      <c r="G121">
        <v>6.6185383273145657</v>
      </c>
      <c r="H121">
        <v>0.38146167268543429</v>
      </c>
      <c r="I121">
        <v>0.56953636231691418</v>
      </c>
      <c r="J121"/>
      <c r="K121">
        <v>14.3</v>
      </c>
      <c r="L121">
        <v>4</v>
      </c>
      <c r="M121"/>
      <c r="N121"/>
    </row>
    <row r="122" spans="1:14" s="90" customFormat="1">
      <c r="A122" s="468">
        <v>7</v>
      </c>
      <c r="B122" s="468">
        <v>55</v>
      </c>
      <c r="C122" s="468">
        <v>4</v>
      </c>
      <c r="D122" s="468">
        <v>1</v>
      </c>
      <c r="F122">
        <v>73</v>
      </c>
      <c r="G122">
        <v>5.5275604062205641</v>
      </c>
      <c r="H122">
        <v>-0.5275604062205641</v>
      </c>
      <c r="I122">
        <v>-0.78766716599878872</v>
      </c>
      <c r="J122"/>
      <c r="K122">
        <v>14.5</v>
      </c>
      <c r="L122">
        <v>4</v>
      </c>
      <c r="M122"/>
      <c r="N122"/>
    </row>
    <row r="123" spans="1:14" s="90" customFormat="1">
      <c r="A123" s="468">
        <v>6</v>
      </c>
      <c r="B123" s="468">
        <v>84</v>
      </c>
      <c r="C123" s="468">
        <v>4</v>
      </c>
      <c r="D123" s="468">
        <v>1</v>
      </c>
      <c r="F123">
        <v>74</v>
      </c>
      <c r="G123">
        <v>6.6120651965201063</v>
      </c>
      <c r="H123">
        <v>0.38793480347989373</v>
      </c>
      <c r="I123">
        <v>0.57920098560534128</v>
      </c>
      <c r="J123"/>
      <c r="K123">
        <v>14.700000000000001</v>
      </c>
      <c r="L123">
        <v>4</v>
      </c>
      <c r="M123"/>
      <c r="N123"/>
    </row>
    <row r="124" spans="1:14" s="90" customFormat="1">
      <c r="A124" s="468">
        <v>6</v>
      </c>
      <c r="B124" s="468">
        <v>40</v>
      </c>
      <c r="C124" s="468">
        <v>4</v>
      </c>
      <c r="D124" s="468">
        <v>1</v>
      </c>
      <c r="F124">
        <v>75</v>
      </c>
      <c r="G124">
        <v>5.5285562724966351</v>
      </c>
      <c r="H124">
        <v>-0.52855627249663506</v>
      </c>
      <c r="I124">
        <v>-0.78915403112008564</v>
      </c>
      <c r="J124"/>
      <c r="K124">
        <v>14.9</v>
      </c>
      <c r="L124">
        <v>4</v>
      </c>
      <c r="M124"/>
      <c r="N124"/>
    </row>
    <row r="125" spans="1:14" s="90" customFormat="1">
      <c r="A125" s="468">
        <v>7</v>
      </c>
      <c r="B125" s="468">
        <v>48</v>
      </c>
      <c r="C125" s="468">
        <v>4</v>
      </c>
      <c r="D125" s="468">
        <v>2</v>
      </c>
      <c r="F125">
        <v>76</v>
      </c>
      <c r="G125">
        <v>5.2885222294717797</v>
      </c>
      <c r="H125">
        <v>-0.28852222947177975</v>
      </c>
      <c r="I125">
        <v>-0.43077434192564407</v>
      </c>
      <c r="J125"/>
      <c r="K125">
        <v>15.1</v>
      </c>
      <c r="L125">
        <v>4</v>
      </c>
      <c r="M125"/>
      <c r="N125"/>
    </row>
    <row r="126" spans="1:14" s="90" customFormat="1">
      <c r="A126" s="468">
        <v>3</v>
      </c>
      <c r="B126" s="468">
        <v>43</v>
      </c>
      <c r="C126" s="468">
        <v>0</v>
      </c>
      <c r="D126" s="468">
        <v>0</v>
      </c>
      <c r="F126">
        <v>77</v>
      </c>
      <c r="G126">
        <v>6.3804960168418523</v>
      </c>
      <c r="H126">
        <v>-0.3804960168418523</v>
      </c>
      <c r="I126">
        <v>-0.56809460248680588</v>
      </c>
      <c r="J126"/>
      <c r="K126">
        <v>15.3</v>
      </c>
      <c r="L126">
        <v>4</v>
      </c>
      <c r="M126"/>
      <c r="N126"/>
    </row>
    <row r="127" spans="1:14" s="90" customFormat="1">
      <c r="A127" s="468">
        <v>9</v>
      </c>
      <c r="B127" s="468">
        <v>47</v>
      </c>
      <c r="C127" s="468">
        <v>5</v>
      </c>
      <c r="D127" s="468">
        <v>0</v>
      </c>
      <c r="F127">
        <v>78</v>
      </c>
      <c r="G127">
        <v>5.3024643573367696</v>
      </c>
      <c r="H127">
        <v>-0.30246435733676957</v>
      </c>
      <c r="I127">
        <v>-0.45159045362379524</v>
      </c>
      <c r="J127"/>
      <c r="K127">
        <v>15.5</v>
      </c>
      <c r="L127">
        <v>4</v>
      </c>
      <c r="M127"/>
      <c r="N127"/>
    </row>
    <row r="128" spans="1:14" s="90" customFormat="1">
      <c r="A128" s="468">
        <v>5</v>
      </c>
      <c r="B128" s="468">
        <v>51</v>
      </c>
      <c r="C128" s="468">
        <v>3</v>
      </c>
      <c r="D128" s="468">
        <v>0</v>
      </c>
      <c r="F128">
        <v>79</v>
      </c>
      <c r="G128">
        <v>6.6299907894893799</v>
      </c>
      <c r="H128">
        <v>0.37000921051062008</v>
      </c>
      <c r="I128">
        <v>0.55243741342200248</v>
      </c>
      <c r="J128"/>
      <c r="K128">
        <v>15.700000000000001</v>
      </c>
      <c r="L128">
        <v>4</v>
      </c>
      <c r="M128"/>
      <c r="N128"/>
    </row>
    <row r="129" spans="1:14" s="90" customFormat="1">
      <c r="A129" s="468">
        <v>5</v>
      </c>
      <c r="B129" s="468">
        <v>54</v>
      </c>
      <c r="C129" s="468">
        <v>3</v>
      </c>
      <c r="D129" s="468">
        <v>0</v>
      </c>
      <c r="F129">
        <v>80</v>
      </c>
      <c r="G129">
        <v>4.4450473484731639</v>
      </c>
      <c r="H129">
        <v>-0.44504734847316385</v>
      </c>
      <c r="I129">
        <v>-0.66447212408994472</v>
      </c>
      <c r="J129"/>
      <c r="K129">
        <v>15.9</v>
      </c>
      <c r="L129">
        <v>4</v>
      </c>
      <c r="M129"/>
      <c r="N129"/>
    </row>
    <row r="130" spans="1:14" s="90" customFormat="1">
      <c r="A130" s="468">
        <v>4</v>
      </c>
      <c r="B130" s="468">
        <v>45</v>
      </c>
      <c r="C130" s="468">
        <v>2</v>
      </c>
      <c r="D130" s="468">
        <v>0</v>
      </c>
      <c r="F130">
        <v>81</v>
      </c>
      <c r="G130">
        <v>6.6374597865599103</v>
      </c>
      <c r="H130">
        <v>0.36254021344008969</v>
      </c>
      <c r="I130">
        <v>0.54128592501227846</v>
      </c>
      <c r="J130"/>
      <c r="K130">
        <v>16.100000000000001</v>
      </c>
      <c r="L130">
        <v>4</v>
      </c>
      <c r="M130"/>
      <c r="N130"/>
    </row>
    <row r="131" spans="1:14" s="90" customFormat="1">
      <c r="A131" s="468">
        <v>7</v>
      </c>
      <c r="B131" s="468">
        <v>25</v>
      </c>
      <c r="C131" s="468">
        <v>4</v>
      </c>
      <c r="D131" s="468">
        <v>0</v>
      </c>
      <c r="F131">
        <v>82</v>
      </c>
      <c r="G131">
        <v>2.2795232998403274</v>
      </c>
      <c r="H131">
        <v>1.7204767001596726</v>
      </c>
      <c r="I131">
        <v>2.568735239799528</v>
      </c>
      <c r="J131"/>
      <c r="K131">
        <v>16.3</v>
      </c>
      <c r="L131">
        <v>4</v>
      </c>
      <c r="M131"/>
      <c r="N131"/>
    </row>
    <row r="132" spans="1:14" s="90" customFormat="1">
      <c r="A132" s="468">
        <v>5</v>
      </c>
      <c r="B132" s="468">
        <v>52</v>
      </c>
      <c r="C132" s="468">
        <v>3</v>
      </c>
      <c r="D132" s="468">
        <v>0</v>
      </c>
      <c r="F132">
        <v>83</v>
      </c>
      <c r="G132">
        <v>6.3725290866332855</v>
      </c>
      <c r="H132">
        <v>-0.37252908663328554</v>
      </c>
      <c r="I132">
        <v>-0.55619968151643207</v>
      </c>
      <c r="J132"/>
      <c r="K132">
        <v>16.500000000000004</v>
      </c>
      <c r="L132">
        <v>4</v>
      </c>
      <c r="M132"/>
      <c r="N132"/>
    </row>
    <row r="133" spans="1:14" s="90" customFormat="1">
      <c r="A133" s="468">
        <v>3</v>
      </c>
      <c r="B133" s="468">
        <v>27</v>
      </c>
      <c r="C133" s="468">
        <v>0</v>
      </c>
      <c r="D133" s="468">
        <v>0</v>
      </c>
      <c r="F133">
        <v>84</v>
      </c>
      <c r="G133">
        <v>6.372031153495251</v>
      </c>
      <c r="H133">
        <v>-0.37203115349525095</v>
      </c>
      <c r="I133">
        <v>-0.55545624895578494</v>
      </c>
      <c r="J133"/>
      <c r="K133">
        <v>16.700000000000003</v>
      </c>
      <c r="L133">
        <v>4</v>
      </c>
      <c r="M133"/>
      <c r="N133"/>
    </row>
    <row r="134" spans="1:14" s="90" customFormat="1">
      <c r="A134" s="468">
        <v>7</v>
      </c>
      <c r="B134" s="468">
        <v>35</v>
      </c>
      <c r="C134" s="468">
        <v>4</v>
      </c>
      <c r="D134" s="468">
        <v>1</v>
      </c>
      <c r="F134">
        <v>85</v>
      </c>
      <c r="G134">
        <v>4.2040174391722376</v>
      </c>
      <c r="H134">
        <v>-0.20401743917223758</v>
      </c>
      <c r="I134">
        <v>-0.30460556977420628</v>
      </c>
      <c r="J134"/>
      <c r="K134">
        <v>16.900000000000002</v>
      </c>
      <c r="L134">
        <v>4</v>
      </c>
      <c r="M134"/>
      <c r="N134"/>
    </row>
    <row r="135" spans="1:14" s="90" customFormat="1">
      <c r="A135" s="468">
        <v>5</v>
      </c>
      <c r="B135" s="468">
        <v>37</v>
      </c>
      <c r="C135" s="468">
        <v>3</v>
      </c>
      <c r="D135" s="468">
        <v>1</v>
      </c>
      <c r="F135">
        <v>86</v>
      </c>
      <c r="G135">
        <v>4.2164657676231219</v>
      </c>
      <c r="H135">
        <v>-0.21646576762312186</v>
      </c>
      <c r="I135">
        <v>-0.32319138379041346</v>
      </c>
      <c r="J135"/>
      <c r="K135">
        <v>17.100000000000001</v>
      </c>
      <c r="L135">
        <v>4</v>
      </c>
      <c r="M135"/>
      <c r="N135"/>
    </row>
    <row r="136" spans="1:14" s="90" customFormat="1">
      <c r="A136" s="468">
        <v>6</v>
      </c>
      <c r="B136" s="468">
        <v>31</v>
      </c>
      <c r="C136" s="468">
        <v>4</v>
      </c>
      <c r="D136" s="468">
        <v>1</v>
      </c>
      <c r="F136">
        <v>87</v>
      </c>
      <c r="G136">
        <v>6.373027019771321</v>
      </c>
      <c r="H136">
        <v>-0.37302701977132102</v>
      </c>
      <c r="I136">
        <v>-0.55694311407708053</v>
      </c>
      <c r="J136"/>
      <c r="K136">
        <v>17.3</v>
      </c>
      <c r="L136">
        <v>4</v>
      </c>
      <c r="M136"/>
      <c r="N136"/>
    </row>
    <row r="137" spans="1:14" s="90" customFormat="1">
      <c r="A137" s="468">
        <v>6</v>
      </c>
      <c r="B137" s="468">
        <v>17</v>
      </c>
      <c r="C137" s="468">
        <v>4</v>
      </c>
      <c r="D137" s="468">
        <v>0</v>
      </c>
      <c r="F137">
        <v>88</v>
      </c>
      <c r="G137">
        <v>5.2760739010208946</v>
      </c>
      <c r="H137">
        <v>-0.27607390102089457</v>
      </c>
      <c r="I137">
        <v>-0.41218852790943555</v>
      </c>
      <c r="J137"/>
      <c r="K137">
        <v>17.500000000000004</v>
      </c>
      <c r="L137">
        <v>4</v>
      </c>
      <c r="M137"/>
      <c r="N137"/>
    </row>
    <row r="138" spans="1:14" s="90" customFormat="1">
      <c r="A138" s="468">
        <v>4</v>
      </c>
      <c r="B138" s="468">
        <v>61</v>
      </c>
      <c r="C138" s="468">
        <v>0</v>
      </c>
      <c r="D138" s="468">
        <v>0</v>
      </c>
      <c r="F138">
        <v>89</v>
      </c>
      <c r="G138">
        <v>5.5360252695671655</v>
      </c>
      <c r="H138">
        <v>-0.53602526956716545</v>
      </c>
      <c r="I138">
        <v>-0.80030551952980966</v>
      </c>
      <c r="J138"/>
      <c r="K138">
        <v>17.700000000000003</v>
      </c>
      <c r="L138">
        <v>4</v>
      </c>
      <c r="M138"/>
      <c r="N138"/>
    </row>
    <row r="139" spans="1:14" s="90" customFormat="1">
      <c r="A139" s="468">
        <v>3</v>
      </c>
      <c r="B139" s="468">
        <v>44</v>
      </c>
      <c r="C139" s="468">
        <v>0</v>
      </c>
      <c r="D139" s="468">
        <v>0</v>
      </c>
      <c r="F139">
        <v>90</v>
      </c>
      <c r="G139">
        <v>6.3849774150841698</v>
      </c>
      <c r="H139">
        <v>-0.38497741508416983</v>
      </c>
      <c r="I139">
        <v>-0.57478549553263925</v>
      </c>
      <c r="J139"/>
      <c r="K139">
        <v>17.900000000000002</v>
      </c>
      <c r="L139">
        <v>4</v>
      </c>
      <c r="M139"/>
      <c r="N139"/>
    </row>
    <row r="140" spans="1:14" s="90" customFormat="1">
      <c r="A140" s="468">
        <v>3</v>
      </c>
      <c r="B140" s="468">
        <v>45</v>
      </c>
      <c r="C140" s="468">
        <v>0</v>
      </c>
      <c r="D140" s="468">
        <v>0</v>
      </c>
      <c r="F140">
        <v>91</v>
      </c>
      <c r="G140">
        <v>6.3829856825320288</v>
      </c>
      <c r="H140">
        <v>-0.3829856825320288</v>
      </c>
      <c r="I140">
        <v>-0.57181176529004674</v>
      </c>
      <c r="J140"/>
      <c r="K140">
        <v>18.100000000000001</v>
      </c>
      <c r="L140">
        <v>4</v>
      </c>
      <c r="M140"/>
      <c r="N140"/>
    </row>
    <row r="141" spans="1:14" s="90" customFormat="1">
      <c r="A141" s="468">
        <v>4</v>
      </c>
      <c r="B141" s="468">
        <v>27</v>
      </c>
      <c r="C141" s="468">
        <v>2</v>
      </c>
      <c r="D141" s="468">
        <v>0</v>
      </c>
      <c r="F141">
        <v>92</v>
      </c>
      <c r="G141">
        <v>4.4520184124056588</v>
      </c>
      <c r="H141">
        <v>-0.45201841240565876</v>
      </c>
      <c r="I141">
        <v>-0.67488017993902039</v>
      </c>
      <c r="J141"/>
      <c r="K141">
        <v>18.3</v>
      </c>
      <c r="L141">
        <v>4</v>
      </c>
      <c r="M141"/>
      <c r="N141"/>
    </row>
    <row r="142" spans="1:14" s="90" customFormat="1">
      <c r="A142" s="468">
        <v>4</v>
      </c>
      <c r="B142" s="468">
        <v>47</v>
      </c>
      <c r="C142" s="468">
        <v>2</v>
      </c>
      <c r="D142" s="468">
        <v>0</v>
      </c>
      <c r="F142">
        <v>93</v>
      </c>
      <c r="G142">
        <v>2.2675729045274782</v>
      </c>
      <c r="H142">
        <v>0.73242709547252183</v>
      </c>
      <c r="I142">
        <v>1.0935406974995197</v>
      </c>
      <c r="J142"/>
      <c r="K142">
        <v>18.500000000000004</v>
      </c>
      <c r="L142">
        <v>4</v>
      </c>
      <c r="M142"/>
      <c r="N142"/>
    </row>
    <row r="143" spans="1:14" s="90" customFormat="1">
      <c r="A143" s="468">
        <v>6</v>
      </c>
      <c r="B143" s="468">
        <v>33</v>
      </c>
      <c r="C143" s="468">
        <v>4</v>
      </c>
      <c r="D143" s="468">
        <v>1</v>
      </c>
      <c r="F143">
        <v>94</v>
      </c>
      <c r="G143">
        <v>4.4629729414424375</v>
      </c>
      <c r="H143">
        <v>-0.4629729414424375</v>
      </c>
      <c r="I143">
        <v>-0.69123569627328352</v>
      </c>
      <c r="J143"/>
      <c r="K143">
        <v>18.700000000000003</v>
      </c>
      <c r="L143">
        <v>4</v>
      </c>
      <c r="M143"/>
      <c r="N143"/>
    </row>
    <row r="144" spans="1:14" s="90" customFormat="1">
      <c r="A144" s="468">
        <v>6</v>
      </c>
      <c r="B144" s="468">
        <v>65</v>
      </c>
      <c r="C144" s="468">
        <v>4</v>
      </c>
      <c r="D144" s="468">
        <v>1</v>
      </c>
      <c r="F144">
        <v>95</v>
      </c>
      <c r="G144">
        <v>6.3670518221148962</v>
      </c>
      <c r="H144">
        <v>-0.36705182211489618</v>
      </c>
      <c r="I144">
        <v>-0.54802192334930044</v>
      </c>
      <c r="J144"/>
      <c r="K144">
        <v>18.900000000000002</v>
      </c>
      <c r="L144">
        <v>4</v>
      </c>
      <c r="M144"/>
      <c r="N144"/>
    </row>
    <row r="145" spans="1:14" s="90" customFormat="1">
      <c r="A145" s="468">
        <v>7</v>
      </c>
      <c r="B145" s="468">
        <v>69</v>
      </c>
      <c r="C145" s="468">
        <v>4</v>
      </c>
      <c r="D145" s="468">
        <v>1</v>
      </c>
      <c r="F145">
        <v>96</v>
      </c>
      <c r="G145">
        <v>5.3034602236128405</v>
      </c>
      <c r="H145">
        <v>-0.30346022361284053</v>
      </c>
      <c r="I145">
        <v>-0.45307731874509216</v>
      </c>
      <c r="J145"/>
      <c r="K145">
        <v>19.100000000000001</v>
      </c>
      <c r="L145">
        <v>4</v>
      </c>
      <c r="M145"/>
      <c r="N145"/>
    </row>
    <row r="146" spans="1:14" s="90" customFormat="1">
      <c r="A146" s="468">
        <v>6</v>
      </c>
      <c r="B146" s="468">
        <v>17</v>
      </c>
      <c r="C146" s="468">
        <v>4</v>
      </c>
      <c r="D146" s="468">
        <v>0</v>
      </c>
      <c r="F146">
        <v>97</v>
      </c>
      <c r="G146">
        <v>6.6309866557654509</v>
      </c>
      <c r="H146">
        <v>1.3690133442345491</v>
      </c>
      <c r="I146">
        <v>2.0439874720562736</v>
      </c>
      <c r="J146"/>
      <c r="K146">
        <v>19.300000000000004</v>
      </c>
      <c r="L146">
        <v>4</v>
      </c>
      <c r="M146"/>
      <c r="N146"/>
    </row>
    <row r="147" spans="1:14" s="90" customFormat="1">
      <c r="A147" s="468">
        <v>4</v>
      </c>
      <c r="B147" s="468">
        <v>56</v>
      </c>
      <c r="C147" s="468">
        <v>2</v>
      </c>
      <c r="D147" s="468">
        <v>0</v>
      </c>
      <c r="F147">
        <v>98</v>
      </c>
      <c r="G147">
        <v>5.533535603876989</v>
      </c>
      <c r="H147">
        <v>-0.53353560387698895</v>
      </c>
      <c r="I147">
        <v>-0.7965883567265688</v>
      </c>
      <c r="J147"/>
      <c r="K147">
        <v>19.500000000000004</v>
      </c>
      <c r="L147">
        <v>4</v>
      </c>
      <c r="M147"/>
      <c r="N147"/>
    </row>
    <row r="148" spans="1:14" s="90" customFormat="1">
      <c r="A148" s="468">
        <v>3</v>
      </c>
      <c r="B148" s="468">
        <v>95</v>
      </c>
      <c r="C148" s="468">
        <v>0</v>
      </c>
      <c r="D148" s="468">
        <v>0</v>
      </c>
      <c r="F148">
        <v>99</v>
      </c>
      <c r="G148">
        <v>5.5459839323278732</v>
      </c>
      <c r="H148">
        <v>-0.54598393232787323</v>
      </c>
      <c r="I148">
        <v>-0.81517417074277598</v>
      </c>
      <c r="J148"/>
      <c r="K148">
        <v>19.700000000000003</v>
      </c>
      <c r="L148">
        <v>4</v>
      </c>
      <c r="M148"/>
      <c r="N148"/>
    </row>
    <row r="149" spans="1:14" s="90" customFormat="1">
      <c r="A149" s="468">
        <v>7</v>
      </c>
      <c r="B149" s="468">
        <v>52</v>
      </c>
      <c r="C149" s="468">
        <v>4</v>
      </c>
      <c r="D149" s="468">
        <v>1</v>
      </c>
      <c r="F149">
        <v>100</v>
      </c>
      <c r="G149">
        <v>6.6235176586949205</v>
      </c>
      <c r="H149">
        <v>-0.62351765869492048</v>
      </c>
      <c r="I149">
        <v>-0.93093488704513816</v>
      </c>
      <c r="J149"/>
      <c r="K149">
        <v>19.900000000000002</v>
      </c>
      <c r="L149">
        <v>4</v>
      </c>
      <c r="M149"/>
      <c r="N149"/>
    </row>
    <row r="150" spans="1:14" s="90" customFormat="1">
      <c r="A150" s="468">
        <v>5</v>
      </c>
      <c r="B150" s="468">
        <v>43</v>
      </c>
      <c r="C150" s="468">
        <v>3</v>
      </c>
      <c r="D150" s="468">
        <v>1</v>
      </c>
      <c r="F150">
        <v>101</v>
      </c>
      <c r="G150">
        <v>6.6329783883175928</v>
      </c>
      <c r="H150">
        <v>-0.63297838831759279</v>
      </c>
      <c r="I150">
        <v>-0.94506010569745602</v>
      </c>
      <c r="J150"/>
      <c r="K150">
        <v>20.100000000000001</v>
      </c>
      <c r="L150">
        <v>4</v>
      </c>
      <c r="M150"/>
      <c r="N150"/>
    </row>
    <row r="151" spans="1:14" s="90" customFormat="1">
      <c r="A151" s="468">
        <v>3</v>
      </c>
      <c r="B151" s="468">
        <v>45</v>
      </c>
      <c r="C151" s="468">
        <v>0</v>
      </c>
      <c r="D151" s="468">
        <v>0</v>
      </c>
      <c r="F151">
        <v>102</v>
      </c>
      <c r="G151">
        <v>6.6394515191120522</v>
      </c>
      <c r="H151">
        <v>-0.63945151911205222</v>
      </c>
      <c r="I151">
        <v>-0.95472472898588312</v>
      </c>
      <c r="J151"/>
      <c r="K151">
        <v>20.300000000000004</v>
      </c>
      <c r="L151">
        <v>4</v>
      </c>
      <c r="M151"/>
      <c r="N151"/>
    </row>
    <row r="152" spans="1:14" s="90" customFormat="1">
      <c r="A152" s="468">
        <v>5</v>
      </c>
      <c r="B152" s="468">
        <v>83</v>
      </c>
      <c r="C152" s="468">
        <v>3</v>
      </c>
      <c r="D152" s="468">
        <v>0</v>
      </c>
      <c r="F152">
        <v>103</v>
      </c>
      <c r="G152">
        <v>6.6036003331735049</v>
      </c>
      <c r="H152">
        <v>-0.60360033317350492</v>
      </c>
      <c r="I152">
        <v>-0.90119758461920563</v>
      </c>
      <c r="J152"/>
      <c r="K152">
        <v>20.500000000000004</v>
      </c>
      <c r="L152">
        <v>4</v>
      </c>
      <c r="M152"/>
      <c r="N152"/>
    </row>
    <row r="153" spans="1:14" s="90" customFormat="1">
      <c r="A153" s="468">
        <v>3</v>
      </c>
      <c r="B153" s="468">
        <v>80</v>
      </c>
      <c r="C153" s="468">
        <v>0</v>
      </c>
      <c r="D153" s="468">
        <v>0</v>
      </c>
      <c r="F153">
        <v>104</v>
      </c>
      <c r="G153">
        <v>6.626007324385097</v>
      </c>
      <c r="H153">
        <v>-0.62600732438509699</v>
      </c>
      <c r="I153">
        <v>-0.93465204984837902</v>
      </c>
      <c r="J153"/>
      <c r="K153">
        <v>20.700000000000003</v>
      </c>
      <c r="L153">
        <v>4</v>
      </c>
      <c r="M153"/>
      <c r="N153"/>
    </row>
    <row r="154" spans="1:14" s="90" customFormat="1">
      <c r="A154" s="468">
        <v>4</v>
      </c>
      <c r="B154" s="468">
        <v>30</v>
      </c>
      <c r="C154" s="468">
        <v>2</v>
      </c>
      <c r="D154" s="468">
        <v>0</v>
      </c>
      <c r="F154">
        <v>105</v>
      </c>
      <c r="G154">
        <v>6.6165465947624247</v>
      </c>
      <c r="H154">
        <v>0.38345340523757532</v>
      </c>
      <c r="I154">
        <v>0.57251009255950658</v>
      </c>
      <c r="J154"/>
      <c r="K154">
        <v>20.900000000000002</v>
      </c>
      <c r="L154">
        <v>4</v>
      </c>
      <c r="M154"/>
      <c r="N154"/>
    </row>
    <row r="155" spans="1:14" s="90" customFormat="1">
      <c r="A155" s="468">
        <v>4</v>
      </c>
      <c r="B155" s="468">
        <v>70</v>
      </c>
      <c r="C155" s="468">
        <v>2</v>
      </c>
      <c r="D155" s="468">
        <v>0</v>
      </c>
      <c r="F155">
        <v>106</v>
      </c>
      <c r="G155">
        <v>6.6135589959342127</v>
      </c>
      <c r="H155">
        <v>0.3864410040657873</v>
      </c>
      <c r="I155">
        <v>0.5769706879233959</v>
      </c>
      <c r="J155"/>
      <c r="K155">
        <v>21.1</v>
      </c>
      <c r="L155">
        <v>4</v>
      </c>
      <c r="M155"/>
      <c r="N155"/>
    </row>
    <row r="156" spans="1:14" s="90" customFormat="1">
      <c r="A156" s="468">
        <v>4</v>
      </c>
      <c r="B156" s="468">
        <v>50</v>
      </c>
      <c r="C156" s="468">
        <v>2</v>
      </c>
      <c r="D156" s="468">
        <v>0</v>
      </c>
      <c r="F156">
        <v>107</v>
      </c>
      <c r="G156">
        <v>6.6080817314158224</v>
      </c>
      <c r="H156">
        <v>0.39191826858417755</v>
      </c>
      <c r="I156">
        <v>0.58514844609052885</v>
      </c>
      <c r="J156"/>
      <c r="K156">
        <v>21.300000000000004</v>
      </c>
      <c r="L156">
        <v>4</v>
      </c>
      <c r="M156"/>
      <c r="N156"/>
    </row>
    <row r="157" spans="1:14" s="90" customFormat="1">
      <c r="A157" s="468">
        <v>6</v>
      </c>
      <c r="B157" s="468">
        <v>76</v>
      </c>
      <c r="C157" s="468">
        <v>4</v>
      </c>
      <c r="D157" s="468">
        <v>2</v>
      </c>
      <c r="F157">
        <v>108</v>
      </c>
      <c r="G157">
        <v>6.6200321267286721</v>
      </c>
      <c r="H157">
        <v>0.37996787327132786</v>
      </c>
      <c r="I157">
        <v>0.5673060646349688</v>
      </c>
      <c r="J157"/>
      <c r="K157">
        <v>21.500000000000004</v>
      </c>
      <c r="L157">
        <v>4</v>
      </c>
      <c r="M157"/>
      <c r="N157"/>
    </row>
    <row r="158" spans="1:14" s="90" customFormat="1">
      <c r="A158" s="468">
        <v>4</v>
      </c>
      <c r="B158" s="468">
        <v>75</v>
      </c>
      <c r="C158" s="468">
        <v>2</v>
      </c>
      <c r="D158" s="468">
        <v>0</v>
      </c>
      <c r="F158">
        <v>109</v>
      </c>
      <c r="G158">
        <v>6.6324804551795573</v>
      </c>
      <c r="H158">
        <v>0.36751954482044269</v>
      </c>
      <c r="I158">
        <v>0.54872025061876029</v>
      </c>
      <c r="J158"/>
      <c r="K158">
        <v>21.700000000000003</v>
      </c>
      <c r="L158">
        <v>4</v>
      </c>
      <c r="M158"/>
      <c r="N158"/>
    </row>
    <row r="159" spans="1:14" s="90" customFormat="1">
      <c r="A159" s="468">
        <v>5</v>
      </c>
      <c r="B159" s="468">
        <v>23</v>
      </c>
      <c r="C159" s="468">
        <v>3</v>
      </c>
      <c r="D159" s="468">
        <v>0</v>
      </c>
      <c r="F159">
        <v>110</v>
      </c>
      <c r="G159">
        <v>5.2760739010208946</v>
      </c>
      <c r="H159">
        <v>-0.27607390102089457</v>
      </c>
      <c r="I159">
        <v>-0.41218852790943555</v>
      </c>
      <c r="J159"/>
      <c r="K159">
        <v>21.900000000000002</v>
      </c>
      <c r="L159">
        <v>4</v>
      </c>
      <c r="M159"/>
      <c r="N159"/>
    </row>
    <row r="160" spans="1:14" s="90" customFormat="1">
      <c r="A160" s="468">
        <v>6</v>
      </c>
      <c r="B160" s="468">
        <v>79</v>
      </c>
      <c r="C160" s="468">
        <v>4</v>
      </c>
      <c r="D160" s="468">
        <v>2</v>
      </c>
      <c r="F160">
        <v>111</v>
      </c>
      <c r="G160">
        <v>6.626007324385097</v>
      </c>
      <c r="H160">
        <v>-0.62600732438509699</v>
      </c>
      <c r="I160">
        <v>-0.93465204984837902</v>
      </c>
      <c r="J160"/>
      <c r="K160">
        <v>22.1</v>
      </c>
      <c r="L160">
        <v>4</v>
      </c>
      <c r="M160"/>
      <c r="N160"/>
    </row>
    <row r="161" spans="1:14" s="90" customFormat="1">
      <c r="A161" s="468">
        <v>5</v>
      </c>
      <c r="B161" s="468">
        <v>57</v>
      </c>
      <c r="C161" s="468">
        <v>3</v>
      </c>
      <c r="D161" s="468">
        <v>0</v>
      </c>
      <c r="F161">
        <v>112</v>
      </c>
      <c r="G161">
        <v>5.2915098282999908</v>
      </c>
      <c r="H161">
        <v>-0.29150982829999084</v>
      </c>
      <c r="I161">
        <v>-0.43523493728953211</v>
      </c>
      <c r="J161"/>
      <c r="K161">
        <v>22.300000000000004</v>
      </c>
      <c r="L161">
        <v>4</v>
      </c>
      <c r="M161"/>
      <c r="N161"/>
    </row>
    <row r="162" spans="1:14" s="90" customFormat="1">
      <c r="A162" s="468">
        <v>4</v>
      </c>
      <c r="B162" s="468">
        <v>21</v>
      </c>
      <c r="C162" s="468">
        <v>2</v>
      </c>
      <c r="D162" s="468">
        <v>0</v>
      </c>
      <c r="F162">
        <v>113</v>
      </c>
      <c r="G162">
        <v>4.4515204792676233</v>
      </c>
      <c r="H162">
        <v>-0.45152047926762329</v>
      </c>
      <c r="I162">
        <v>-0.67413674737837193</v>
      </c>
      <c r="J162"/>
      <c r="K162">
        <v>22.500000000000004</v>
      </c>
      <c r="L162">
        <v>4</v>
      </c>
      <c r="M162"/>
      <c r="N162"/>
    </row>
    <row r="163" spans="1:14" s="90" customFormat="1">
      <c r="A163" s="468">
        <v>4</v>
      </c>
      <c r="B163" s="468">
        <v>70</v>
      </c>
      <c r="C163" s="468">
        <v>2</v>
      </c>
      <c r="D163" s="468">
        <v>0</v>
      </c>
      <c r="F163">
        <v>114</v>
      </c>
      <c r="G163">
        <v>2.2874902300488937</v>
      </c>
      <c r="H163">
        <v>0.71250976995110626</v>
      </c>
      <c r="I163">
        <v>1.063803395073587</v>
      </c>
      <c r="J163"/>
      <c r="K163">
        <v>22.700000000000003</v>
      </c>
      <c r="L163">
        <v>4</v>
      </c>
      <c r="M163"/>
      <c r="N163"/>
    </row>
    <row r="164" spans="1:14" s="90" customFormat="1">
      <c r="A164" s="468">
        <v>5</v>
      </c>
      <c r="B164" s="468">
        <v>71</v>
      </c>
      <c r="C164" s="468">
        <v>3</v>
      </c>
      <c r="D164" s="468">
        <v>0</v>
      </c>
      <c r="F164">
        <v>115</v>
      </c>
      <c r="G164">
        <v>4.2010298403440247</v>
      </c>
      <c r="H164">
        <v>-0.20102984034402471</v>
      </c>
      <c r="I164">
        <v>-0.30014497441031562</v>
      </c>
      <c r="J164"/>
      <c r="K164">
        <v>22.900000000000002</v>
      </c>
      <c r="L164">
        <v>4</v>
      </c>
      <c r="M164"/>
      <c r="N164"/>
    </row>
    <row r="165" spans="1:14" s="90" customFormat="1">
      <c r="A165" s="468">
        <v>4</v>
      </c>
      <c r="B165" s="468">
        <v>33</v>
      </c>
      <c r="C165" s="468">
        <v>2</v>
      </c>
      <c r="D165" s="468">
        <v>0</v>
      </c>
      <c r="F165">
        <v>116</v>
      </c>
      <c r="G165">
        <v>2.2725522359078321</v>
      </c>
      <c r="H165">
        <v>0.72744776409216794</v>
      </c>
      <c r="I165">
        <v>1.0861063718930364</v>
      </c>
      <c r="J165"/>
      <c r="K165">
        <v>23.1</v>
      </c>
      <c r="L165">
        <v>4</v>
      </c>
      <c r="M165"/>
      <c r="N165"/>
    </row>
    <row r="166" spans="1:14" s="90" customFormat="1">
      <c r="A166" s="468">
        <v>5</v>
      </c>
      <c r="B166" s="468">
        <v>24</v>
      </c>
      <c r="C166" s="468">
        <v>3</v>
      </c>
      <c r="D166" s="468">
        <v>0</v>
      </c>
      <c r="F166">
        <v>117</v>
      </c>
      <c r="G166">
        <v>5.5365232027052009</v>
      </c>
      <c r="H166">
        <v>-0.53652320270520093</v>
      </c>
      <c r="I166">
        <v>-0.80104895209045812</v>
      </c>
      <c r="J166"/>
      <c r="K166">
        <v>23.300000000000004</v>
      </c>
      <c r="L166">
        <v>4</v>
      </c>
      <c r="M166"/>
      <c r="N166"/>
    </row>
    <row r="167" spans="1:14" s="90" customFormat="1">
      <c r="A167" s="468">
        <v>8</v>
      </c>
      <c r="B167" s="468">
        <v>45</v>
      </c>
      <c r="C167" s="468">
        <v>4</v>
      </c>
      <c r="D167" s="468">
        <v>0</v>
      </c>
      <c r="F167">
        <v>118</v>
      </c>
      <c r="G167">
        <v>4.4545080780958362</v>
      </c>
      <c r="H167">
        <v>-0.45450807809583615</v>
      </c>
      <c r="I167">
        <v>-0.67859734274226258</v>
      </c>
      <c r="J167"/>
      <c r="K167">
        <v>23.500000000000004</v>
      </c>
      <c r="L167">
        <v>4</v>
      </c>
      <c r="M167"/>
      <c r="N167"/>
    </row>
    <row r="168" spans="1:14" s="90" customFormat="1">
      <c r="A168" s="468">
        <v>5</v>
      </c>
      <c r="B168" s="468">
        <v>79</v>
      </c>
      <c r="C168" s="468">
        <v>3</v>
      </c>
      <c r="D168" s="468">
        <v>0</v>
      </c>
      <c r="F168">
        <v>119</v>
      </c>
      <c r="G168">
        <v>6.3809939499798878</v>
      </c>
      <c r="H168">
        <v>0.61900605002011222</v>
      </c>
      <c r="I168">
        <v>0.92419888870811351</v>
      </c>
      <c r="J168"/>
      <c r="K168">
        <v>23.700000000000003</v>
      </c>
      <c r="L168">
        <v>4</v>
      </c>
      <c r="M168"/>
      <c r="N168"/>
    </row>
    <row r="169" spans="1:14" s="90" customFormat="1">
      <c r="A169" s="468">
        <v>6</v>
      </c>
      <c r="B169" s="468">
        <v>38</v>
      </c>
      <c r="C169" s="468">
        <v>4</v>
      </c>
      <c r="D169" s="468">
        <v>2</v>
      </c>
      <c r="F169">
        <v>120</v>
      </c>
      <c r="G169">
        <v>6.3954340109829131</v>
      </c>
      <c r="H169">
        <v>-0.39543401098291309</v>
      </c>
      <c r="I169">
        <v>-0.59039757930625403</v>
      </c>
      <c r="J169"/>
      <c r="K169">
        <v>23.900000000000002</v>
      </c>
      <c r="L169">
        <v>4</v>
      </c>
      <c r="M169"/>
      <c r="N169"/>
    </row>
    <row r="170" spans="1:14" s="90" customFormat="1">
      <c r="A170" s="468">
        <v>5</v>
      </c>
      <c r="B170" s="468">
        <v>55</v>
      </c>
      <c r="C170" s="468">
        <v>3</v>
      </c>
      <c r="D170" s="468">
        <v>0</v>
      </c>
      <c r="F170">
        <v>121</v>
      </c>
      <c r="G170">
        <v>6.3735249529093565</v>
      </c>
      <c r="H170">
        <v>-0.3735249529093565</v>
      </c>
      <c r="I170">
        <v>-0.55768654663772899</v>
      </c>
      <c r="J170"/>
      <c r="K170">
        <v>24.1</v>
      </c>
      <c r="L170">
        <v>4</v>
      </c>
      <c r="M170"/>
      <c r="N170"/>
    </row>
    <row r="171" spans="1:14" s="90" customFormat="1">
      <c r="A171" s="468">
        <v>4</v>
      </c>
      <c r="B171" s="468">
        <v>71</v>
      </c>
      <c r="C171" s="468">
        <v>2</v>
      </c>
      <c r="D171" s="468">
        <v>0</v>
      </c>
      <c r="F171">
        <v>122</v>
      </c>
      <c r="G171">
        <v>6.1349847092986058</v>
      </c>
      <c r="H171">
        <v>0.86501529070139416</v>
      </c>
      <c r="I171">
        <v>1.2914997686303378</v>
      </c>
      <c r="J171"/>
      <c r="K171">
        <v>24.300000000000004</v>
      </c>
      <c r="L171">
        <v>4</v>
      </c>
      <c r="M171"/>
      <c r="N171"/>
    </row>
    <row r="172" spans="1:14" s="90" customFormat="1">
      <c r="A172" s="468">
        <v>4</v>
      </c>
      <c r="B172" s="468">
        <v>27</v>
      </c>
      <c r="C172" s="468">
        <v>2</v>
      </c>
      <c r="D172" s="468">
        <v>0</v>
      </c>
      <c r="F172">
        <v>123</v>
      </c>
      <c r="G172">
        <v>2.2735481021839026</v>
      </c>
      <c r="H172">
        <v>0.72645189781609742</v>
      </c>
      <c r="I172">
        <v>1.0846195067717401</v>
      </c>
      <c r="J172"/>
      <c r="K172">
        <v>24.500000000000004</v>
      </c>
      <c r="L172">
        <v>4</v>
      </c>
      <c r="M172"/>
      <c r="N172"/>
    </row>
    <row r="173" spans="1:14" s="90" customFormat="1">
      <c r="A173" s="468">
        <v>6</v>
      </c>
      <c r="B173" s="468">
        <v>60</v>
      </c>
      <c r="C173" s="468">
        <v>4</v>
      </c>
      <c r="D173" s="468">
        <v>2</v>
      </c>
      <c r="F173">
        <v>124</v>
      </c>
      <c r="G173">
        <v>7.7055327833042853</v>
      </c>
      <c r="H173">
        <v>1.2944672166957147</v>
      </c>
      <c r="I173">
        <v>1.932687351117802</v>
      </c>
      <c r="J173"/>
      <c r="K173">
        <v>24.700000000000003</v>
      </c>
      <c r="L173">
        <v>4</v>
      </c>
      <c r="M173"/>
      <c r="N173"/>
    </row>
    <row r="174" spans="1:14" s="90" customFormat="1">
      <c r="A174" s="468">
        <v>4</v>
      </c>
      <c r="B174" s="468">
        <v>60</v>
      </c>
      <c r="C174" s="468">
        <v>2</v>
      </c>
      <c r="D174" s="468">
        <v>0</v>
      </c>
      <c r="F174">
        <v>125</v>
      </c>
      <c r="G174">
        <v>5.53552733642913</v>
      </c>
      <c r="H174">
        <v>-0.53552733642912997</v>
      </c>
      <c r="I174">
        <v>-0.7995620869691612</v>
      </c>
      <c r="J174"/>
      <c r="K174">
        <v>24.900000000000002</v>
      </c>
      <c r="L174">
        <v>4</v>
      </c>
      <c r="M174"/>
      <c r="N174"/>
    </row>
    <row r="175" spans="1:14" s="90" customFormat="1">
      <c r="A175" s="468">
        <v>7</v>
      </c>
      <c r="B175" s="468">
        <v>49</v>
      </c>
      <c r="C175" s="468">
        <v>4</v>
      </c>
      <c r="D175" s="468">
        <v>0</v>
      </c>
      <c r="F175">
        <v>126</v>
      </c>
      <c r="G175">
        <v>5.5370211358432364</v>
      </c>
      <c r="H175">
        <v>-0.53702113584323641</v>
      </c>
      <c r="I175">
        <v>-0.80179238465110658</v>
      </c>
      <c r="J175"/>
      <c r="K175">
        <v>25.1</v>
      </c>
      <c r="L175">
        <v>4</v>
      </c>
      <c r="M175"/>
      <c r="N175"/>
    </row>
    <row r="176" spans="1:14" s="90" customFormat="1">
      <c r="A176" s="468">
        <v>6</v>
      </c>
      <c r="B176" s="468">
        <v>38</v>
      </c>
      <c r="C176" s="468">
        <v>4</v>
      </c>
      <c r="D176" s="468">
        <v>2</v>
      </c>
      <c r="F176">
        <v>127</v>
      </c>
      <c r="G176">
        <v>4.4465411478872703</v>
      </c>
      <c r="H176">
        <v>-0.44654114788727028</v>
      </c>
      <c r="I176">
        <v>-0.6667024217718901</v>
      </c>
      <c r="J176"/>
      <c r="K176">
        <v>25.300000000000004</v>
      </c>
      <c r="L176">
        <v>4</v>
      </c>
      <c r="M176"/>
      <c r="N176"/>
    </row>
    <row r="177" spans="1:14" s="90" customFormat="1">
      <c r="A177" s="468">
        <v>5</v>
      </c>
      <c r="B177" s="468">
        <v>25</v>
      </c>
      <c r="C177" s="468">
        <v>3</v>
      </c>
      <c r="D177" s="468">
        <v>1</v>
      </c>
      <c r="F177">
        <v>128</v>
      </c>
      <c r="G177">
        <v>6.6085796645538579</v>
      </c>
      <c r="H177">
        <v>0.39142033544614208</v>
      </c>
      <c r="I177">
        <v>0.58440501352988039</v>
      </c>
      <c r="J177"/>
      <c r="K177">
        <v>25.500000000000004</v>
      </c>
      <c r="L177">
        <v>4</v>
      </c>
      <c r="M177"/>
      <c r="N177"/>
    </row>
    <row r="178" spans="1:14" s="90" customFormat="1">
      <c r="A178" s="468">
        <v>5</v>
      </c>
      <c r="B178" s="468">
        <v>39</v>
      </c>
      <c r="C178" s="468">
        <v>3</v>
      </c>
      <c r="D178" s="468">
        <v>1</v>
      </c>
      <c r="F178">
        <v>129</v>
      </c>
      <c r="G178">
        <v>5.5360252695671655</v>
      </c>
      <c r="H178">
        <v>-0.53602526956716545</v>
      </c>
      <c r="I178">
        <v>-0.80030551952980966</v>
      </c>
      <c r="J178"/>
      <c r="K178">
        <v>25.700000000000003</v>
      </c>
      <c r="L178">
        <v>4</v>
      </c>
      <c r="M178"/>
      <c r="N178"/>
    </row>
    <row r="179" spans="1:14" s="90" customFormat="1">
      <c r="A179" s="468">
        <v>6</v>
      </c>
      <c r="B179" s="468">
        <v>51</v>
      </c>
      <c r="C179" s="468">
        <v>4</v>
      </c>
      <c r="D179" s="468">
        <v>2</v>
      </c>
      <c r="F179">
        <v>130</v>
      </c>
      <c r="G179">
        <v>2.2655811719753367</v>
      </c>
      <c r="H179">
        <v>0.73441882802466329</v>
      </c>
      <c r="I179">
        <v>1.0965144277421126</v>
      </c>
      <c r="J179"/>
      <c r="K179">
        <v>25.900000000000002</v>
      </c>
      <c r="L179">
        <v>4</v>
      </c>
      <c r="M179"/>
      <c r="N179"/>
    </row>
    <row r="180" spans="1:14" s="90" customFormat="1">
      <c r="A180" s="468">
        <v>7</v>
      </c>
      <c r="B180" s="468">
        <v>44</v>
      </c>
      <c r="C180" s="468">
        <v>4</v>
      </c>
      <c r="D180" s="468">
        <v>0</v>
      </c>
      <c r="F180">
        <v>131</v>
      </c>
      <c r="G180">
        <v>6.37103528721918</v>
      </c>
      <c r="H180">
        <v>0.62896471278082</v>
      </c>
      <c r="I180">
        <v>0.93906753992107972</v>
      </c>
      <c r="J180"/>
      <c r="K180">
        <v>26.1</v>
      </c>
      <c r="L180">
        <v>4</v>
      </c>
      <c r="M180"/>
      <c r="N180"/>
    </row>
    <row r="181" spans="1:14" s="90" customFormat="1">
      <c r="A181" s="468">
        <v>3</v>
      </c>
      <c r="B181" s="468">
        <v>60</v>
      </c>
      <c r="C181" s="468">
        <v>0</v>
      </c>
      <c r="D181" s="468">
        <v>0</v>
      </c>
      <c r="F181">
        <v>132</v>
      </c>
      <c r="G181">
        <v>5.2860325637816024</v>
      </c>
      <c r="H181">
        <v>-0.28603256378160236</v>
      </c>
      <c r="I181">
        <v>-0.42705717912240182</v>
      </c>
      <c r="J181"/>
      <c r="K181">
        <v>26.300000000000004</v>
      </c>
      <c r="L181">
        <v>4</v>
      </c>
      <c r="M181"/>
      <c r="N181"/>
    </row>
    <row r="182" spans="1:14" s="90" customFormat="1">
      <c r="A182" s="468">
        <v>5</v>
      </c>
      <c r="B182" s="468">
        <v>20</v>
      </c>
      <c r="C182" s="468">
        <v>3</v>
      </c>
      <c r="D182" s="468">
        <v>1</v>
      </c>
      <c r="F182">
        <v>133</v>
      </c>
      <c r="G182">
        <v>6.3690435546670381</v>
      </c>
      <c r="H182">
        <v>-0.36904355466703809</v>
      </c>
      <c r="I182">
        <v>-0.55099565359189429</v>
      </c>
      <c r="J182"/>
      <c r="K182">
        <v>26.500000000000004</v>
      </c>
      <c r="L182">
        <v>4</v>
      </c>
      <c r="M182"/>
      <c r="N182"/>
    </row>
    <row r="183" spans="1:14" s="90" customFormat="1">
      <c r="A183" s="468">
        <v>4</v>
      </c>
      <c r="B183" s="468">
        <v>32</v>
      </c>
      <c r="C183" s="468">
        <v>2</v>
      </c>
      <c r="D183" s="468">
        <v>0</v>
      </c>
      <c r="F183">
        <v>134</v>
      </c>
      <c r="G183">
        <v>6.6045961994495759</v>
      </c>
      <c r="H183">
        <v>-0.60459619944957588</v>
      </c>
      <c r="I183">
        <v>-0.90268444974050244</v>
      </c>
      <c r="J183"/>
      <c r="K183">
        <v>26.700000000000003</v>
      </c>
      <c r="L183">
        <v>4</v>
      </c>
      <c r="M183"/>
      <c r="N183"/>
    </row>
    <row r="184" spans="1:14" s="90" customFormat="1">
      <c r="A184" s="468">
        <v>5</v>
      </c>
      <c r="B184" s="468">
        <v>26</v>
      </c>
      <c r="C184" s="468">
        <v>3</v>
      </c>
      <c r="D184" s="468">
        <v>0</v>
      </c>
      <c r="F184">
        <v>135</v>
      </c>
      <c r="G184">
        <v>2.2825108986685398</v>
      </c>
      <c r="H184">
        <v>1.7174891013314602</v>
      </c>
      <c r="I184">
        <v>2.5642746444356379</v>
      </c>
      <c r="J184"/>
      <c r="K184">
        <v>26.900000000000002</v>
      </c>
      <c r="L184">
        <v>4</v>
      </c>
      <c r="M184"/>
      <c r="N184"/>
    </row>
    <row r="185" spans="1:14" s="90" customFormat="1">
      <c r="A185" s="468">
        <v>8</v>
      </c>
      <c r="B185" s="468">
        <v>91</v>
      </c>
      <c r="C185" s="468">
        <v>4</v>
      </c>
      <c r="D185" s="468">
        <v>0</v>
      </c>
      <c r="F185">
        <v>136</v>
      </c>
      <c r="G185">
        <v>2.2740460353219381</v>
      </c>
      <c r="H185">
        <v>0.72595396467806195</v>
      </c>
      <c r="I185">
        <v>1.0838760742110918</v>
      </c>
      <c r="J185"/>
      <c r="K185">
        <v>27.1</v>
      </c>
      <c r="L185">
        <v>4</v>
      </c>
      <c r="M185"/>
      <c r="N185"/>
    </row>
    <row r="186" spans="1:14" s="90" customFormat="1">
      <c r="A186" s="468">
        <v>7</v>
      </c>
      <c r="B186" s="468">
        <v>72</v>
      </c>
      <c r="C186" s="468">
        <v>4</v>
      </c>
      <c r="D186" s="468">
        <v>1</v>
      </c>
      <c r="F186">
        <v>137</v>
      </c>
      <c r="G186">
        <v>2.2745439684599735</v>
      </c>
      <c r="H186">
        <v>0.72545603154002647</v>
      </c>
      <c r="I186">
        <v>1.0831326416504432</v>
      </c>
      <c r="J186"/>
      <c r="K186">
        <v>27.300000000000004</v>
      </c>
      <c r="L186">
        <v>4</v>
      </c>
      <c r="M186"/>
      <c r="N186"/>
    </row>
    <row r="187" spans="1:14" s="90" customFormat="1">
      <c r="A187" s="468">
        <v>5</v>
      </c>
      <c r="B187" s="468">
        <v>49</v>
      </c>
      <c r="C187" s="468">
        <v>3</v>
      </c>
      <c r="D187" s="468">
        <v>0</v>
      </c>
      <c r="F187">
        <v>138</v>
      </c>
      <c r="G187">
        <v>4.4375783514026335</v>
      </c>
      <c r="H187">
        <v>-0.43757835140263346</v>
      </c>
      <c r="I187">
        <v>-0.6533206356802207</v>
      </c>
      <c r="J187"/>
      <c r="K187">
        <v>27.500000000000004</v>
      </c>
      <c r="L187">
        <v>4</v>
      </c>
      <c r="M187"/>
      <c r="N187"/>
    </row>
    <row r="188" spans="1:14" s="90" customFormat="1">
      <c r="A188" s="468">
        <v>3</v>
      </c>
      <c r="B188" s="468">
        <v>37</v>
      </c>
      <c r="C188" s="468">
        <v>0</v>
      </c>
      <c r="D188" s="468">
        <v>0</v>
      </c>
      <c r="F188">
        <v>139</v>
      </c>
      <c r="G188">
        <v>4.4475370141633412</v>
      </c>
      <c r="H188">
        <v>-0.44753701416334124</v>
      </c>
      <c r="I188">
        <v>-0.66818928689318702</v>
      </c>
      <c r="J188"/>
      <c r="K188">
        <v>27.700000000000003</v>
      </c>
      <c r="L188">
        <v>4</v>
      </c>
      <c r="M188"/>
      <c r="N188"/>
    </row>
    <row r="189" spans="1:14" s="90" customFormat="1">
      <c r="A189" s="468">
        <v>4</v>
      </c>
      <c r="B189" s="468">
        <v>36</v>
      </c>
      <c r="C189" s="468">
        <v>2</v>
      </c>
      <c r="D189" s="468">
        <v>0</v>
      </c>
      <c r="F189">
        <v>140</v>
      </c>
      <c r="G189">
        <v>6.370039420943109</v>
      </c>
      <c r="H189">
        <v>-0.37003942094310904</v>
      </c>
      <c r="I189">
        <v>-0.55248251871319121</v>
      </c>
      <c r="J189"/>
      <c r="K189">
        <v>27.900000000000002</v>
      </c>
      <c r="L189">
        <v>4</v>
      </c>
      <c r="M189"/>
      <c r="N189"/>
    </row>
    <row r="190" spans="1:14" s="90" customFormat="1">
      <c r="A190" s="468">
        <v>6</v>
      </c>
      <c r="B190" s="468">
        <v>39</v>
      </c>
      <c r="C190" s="468">
        <v>4</v>
      </c>
      <c r="D190" s="468">
        <v>0</v>
      </c>
      <c r="F190">
        <v>141</v>
      </c>
      <c r="G190">
        <v>6.3859732813602408</v>
      </c>
      <c r="H190">
        <v>-0.38597328136024078</v>
      </c>
      <c r="I190">
        <v>-0.57627236065393617</v>
      </c>
      <c r="J190"/>
      <c r="K190">
        <v>28.1</v>
      </c>
      <c r="L190">
        <v>4</v>
      </c>
      <c r="M190"/>
      <c r="N190"/>
    </row>
    <row r="191" spans="1:14" s="90" customFormat="1">
      <c r="A191" s="468">
        <v>6</v>
      </c>
      <c r="B191" s="468">
        <v>88</v>
      </c>
      <c r="C191" s="468">
        <v>4</v>
      </c>
      <c r="D191" s="468">
        <v>2</v>
      </c>
      <c r="F191">
        <v>142</v>
      </c>
      <c r="G191">
        <v>6.3879650139123827</v>
      </c>
      <c r="H191">
        <v>0.61203498608761731</v>
      </c>
      <c r="I191">
        <v>0.91379083285903784</v>
      </c>
      <c r="J191"/>
      <c r="K191">
        <v>28.300000000000004</v>
      </c>
      <c r="L191">
        <v>4</v>
      </c>
      <c r="M191"/>
      <c r="N191"/>
    </row>
    <row r="192" spans="1:14" s="90" customFormat="1">
      <c r="A192" s="468">
        <v>6</v>
      </c>
      <c r="B192" s="468">
        <v>66</v>
      </c>
      <c r="C192" s="468">
        <v>4</v>
      </c>
      <c r="D192" s="468">
        <v>2</v>
      </c>
      <c r="F192">
        <v>143</v>
      </c>
      <c r="G192">
        <v>6.6045961994495759</v>
      </c>
      <c r="H192">
        <v>-0.60459619944957588</v>
      </c>
      <c r="I192">
        <v>-0.90268444974050244</v>
      </c>
      <c r="J192"/>
      <c r="K192">
        <v>28.500000000000004</v>
      </c>
      <c r="L192">
        <v>4</v>
      </c>
      <c r="M192"/>
      <c r="N192"/>
    </row>
    <row r="193" spans="1:14" s="90" customFormat="1">
      <c r="A193" s="468">
        <v>5</v>
      </c>
      <c r="B193" s="468">
        <v>73</v>
      </c>
      <c r="C193" s="468">
        <v>3</v>
      </c>
      <c r="D193" s="468">
        <v>0</v>
      </c>
      <c r="F193">
        <v>144</v>
      </c>
      <c r="G193">
        <v>4.4520184124056588</v>
      </c>
      <c r="H193">
        <v>-0.45201841240565876</v>
      </c>
      <c r="I193">
        <v>-0.67488017993902039</v>
      </c>
      <c r="J193"/>
      <c r="K193">
        <v>28.700000000000003</v>
      </c>
      <c r="L193">
        <v>4</v>
      </c>
      <c r="M193"/>
      <c r="N193"/>
    </row>
    <row r="194" spans="1:14" s="90" customFormat="1">
      <c r="A194" s="468">
        <v>5</v>
      </c>
      <c r="B194" s="468">
        <v>64</v>
      </c>
      <c r="C194" s="468">
        <v>3</v>
      </c>
      <c r="D194" s="468">
        <v>0</v>
      </c>
      <c r="F194">
        <v>145</v>
      </c>
      <c r="G194">
        <v>2.299440625361743</v>
      </c>
      <c r="H194">
        <v>0.70055937463825702</v>
      </c>
      <c r="I194">
        <v>1.0459610136180275</v>
      </c>
      <c r="J194"/>
      <c r="K194">
        <v>28.900000000000002</v>
      </c>
      <c r="L194">
        <v>5</v>
      </c>
      <c r="M194"/>
      <c r="N194"/>
    </row>
    <row r="195" spans="1:14" s="90" customFormat="1">
      <c r="A195" s="468">
        <v>6</v>
      </c>
      <c r="B195" s="468">
        <v>47</v>
      </c>
      <c r="C195" s="468">
        <v>4</v>
      </c>
      <c r="D195" s="468">
        <v>1</v>
      </c>
      <c r="F195">
        <v>146</v>
      </c>
      <c r="G195">
        <v>6.3795001505657813</v>
      </c>
      <c r="H195">
        <v>0.62049984943421865</v>
      </c>
      <c r="I195">
        <v>0.92642918639005878</v>
      </c>
      <c r="J195"/>
      <c r="K195">
        <v>29.1</v>
      </c>
      <c r="L195">
        <v>5</v>
      </c>
      <c r="M195"/>
      <c r="N195"/>
    </row>
    <row r="196" spans="1:14" s="90" customFormat="1">
      <c r="A196" s="468">
        <v>3</v>
      </c>
      <c r="B196" s="468">
        <v>45</v>
      </c>
      <c r="C196" s="468">
        <v>0</v>
      </c>
      <c r="D196" s="468">
        <v>0</v>
      </c>
      <c r="F196">
        <v>147</v>
      </c>
      <c r="G196">
        <v>5.2890201626098143</v>
      </c>
      <c r="H196">
        <v>-0.28902016260981434</v>
      </c>
      <c r="I196">
        <v>-0.43151777448629119</v>
      </c>
      <c r="J196"/>
      <c r="K196">
        <v>29.300000000000004</v>
      </c>
      <c r="L196">
        <v>5</v>
      </c>
      <c r="M196"/>
      <c r="N196"/>
    </row>
    <row r="197" spans="1:14" s="90" customFormat="1">
      <c r="A197" s="468">
        <v>8</v>
      </c>
      <c r="B197" s="468">
        <v>51</v>
      </c>
      <c r="C197" s="468">
        <v>4</v>
      </c>
      <c r="D197" s="468">
        <v>0</v>
      </c>
      <c r="F197">
        <v>148</v>
      </c>
      <c r="G197">
        <v>2.2745439684599735</v>
      </c>
      <c r="H197">
        <v>0.72545603154002647</v>
      </c>
      <c r="I197">
        <v>1.0831326416504432</v>
      </c>
      <c r="J197"/>
      <c r="K197">
        <v>29.500000000000004</v>
      </c>
      <c r="L197">
        <v>5</v>
      </c>
      <c r="M197"/>
      <c r="N197"/>
    </row>
    <row r="198" spans="1:14" s="90" customFormat="1">
      <c r="A198" s="468">
        <v>6</v>
      </c>
      <c r="B198" s="468">
        <v>42</v>
      </c>
      <c r="C198" s="468">
        <v>4</v>
      </c>
      <c r="D198" s="468">
        <v>1</v>
      </c>
      <c r="F198">
        <v>149</v>
      </c>
      <c r="G198">
        <v>5.5514611968462626</v>
      </c>
      <c r="H198">
        <v>-0.5514611968462626</v>
      </c>
      <c r="I198">
        <v>-0.8233519289099076</v>
      </c>
      <c r="J198"/>
      <c r="K198">
        <v>29.700000000000003</v>
      </c>
      <c r="L198">
        <v>5</v>
      </c>
      <c r="M198"/>
      <c r="N198"/>
    </row>
    <row r="199" spans="1:14" s="90" customFormat="1">
      <c r="A199" s="468">
        <v>6</v>
      </c>
      <c r="B199" s="468">
        <v>93</v>
      </c>
      <c r="C199" s="468">
        <v>4</v>
      </c>
      <c r="D199" s="468">
        <v>1</v>
      </c>
      <c r="F199">
        <v>150</v>
      </c>
      <c r="G199">
        <v>2.2919716282912121</v>
      </c>
      <c r="H199">
        <v>0.70802837170878785</v>
      </c>
      <c r="I199">
        <v>1.0571125020277523</v>
      </c>
      <c r="J199"/>
      <c r="K199">
        <v>29.900000000000002</v>
      </c>
      <c r="L199">
        <v>5</v>
      </c>
      <c r="M199"/>
      <c r="N199"/>
    </row>
    <row r="200" spans="1:14" s="90" customFormat="1">
      <c r="A200" s="468">
        <v>3</v>
      </c>
      <c r="B200" s="468">
        <v>66</v>
      </c>
      <c r="C200" s="468">
        <v>0</v>
      </c>
      <c r="D200" s="468">
        <v>0</v>
      </c>
      <c r="F200">
        <v>151</v>
      </c>
      <c r="G200">
        <v>4.439072150816739</v>
      </c>
      <c r="H200">
        <v>-0.439072150816739</v>
      </c>
      <c r="I200">
        <v>-0.65555093336216474</v>
      </c>
      <c r="J200"/>
      <c r="K200">
        <v>30.1</v>
      </c>
      <c r="L200">
        <v>5</v>
      </c>
      <c r="M200"/>
      <c r="N200"/>
    </row>
    <row r="201" spans="1:14" s="90" customFormat="1">
      <c r="A201" s="468">
        <v>6</v>
      </c>
      <c r="B201" s="468">
        <v>55</v>
      </c>
      <c r="C201" s="468">
        <v>4</v>
      </c>
      <c r="D201" s="468">
        <v>2</v>
      </c>
      <c r="F201">
        <v>152</v>
      </c>
      <c r="G201">
        <v>4.4589894763381546</v>
      </c>
      <c r="H201">
        <v>-0.45898947633815457</v>
      </c>
      <c r="I201">
        <v>-0.68528823578809728</v>
      </c>
      <c r="J201"/>
      <c r="K201">
        <v>30.300000000000004</v>
      </c>
      <c r="L201">
        <v>5</v>
      </c>
      <c r="M201"/>
      <c r="N201"/>
    </row>
    <row r="202" spans="1:14" s="90" customFormat="1">
      <c r="A202" s="468">
        <v>4</v>
      </c>
      <c r="B202" s="468">
        <v>52</v>
      </c>
      <c r="C202" s="468">
        <v>2</v>
      </c>
      <c r="D202" s="468">
        <v>0</v>
      </c>
      <c r="F202">
        <v>153</v>
      </c>
      <c r="G202">
        <v>4.4490308135774468</v>
      </c>
      <c r="H202">
        <v>-0.44903081357744679</v>
      </c>
      <c r="I202">
        <v>-0.67041958457513096</v>
      </c>
      <c r="J202"/>
      <c r="K202">
        <v>30.500000000000004</v>
      </c>
      <c r="L202">
        <v>5</v>
      </c>
      <c r="M202"/>
      <c r="N202"/>
    </row>
    <row r="203" spans="1:14" s="90" customFormat="1">
      <c r="A203" s="468">
        <v>7</v>
      </c>
      <c r="B203" s="468">
        <v>74</v>
      </c>
      <c r="C203" s="468">
        <v>4</v>
      </c>
      <c r="D203" s="468">
        <v>2</v>
      </c>
      <c r="F203">
        <v>154</v>
      </c>
      <c r="G203">
        <v>6.1489268371635974</v>
      </c>
      <c r="H203">
        <v>-0.14892683716359745</v>
      </c>
      <c r="I203">
        <v>-0.22235326682338391</v>
      </c>
      <c r="J203"/>
      <c r="K203">
        <v>30.700000000000003</v>
      </c>
      <c r="L203">
        <v>5</v>
      </c>
      <c r="M203"/>
      <c r="N203"/>
    </row>
    <row r="204" spans="1:14" s="90" customFormat="1">
      <c r="A204" s="468">
        <v>3</v>
      </c>
      <c r="B204" s="468">
        <v>8</v>
      </c>
      <c r="C204" s="468">
        <v>0</v>
      </c>
      <c r="D204" s="468">
        <v>0</v>
      </c>
      <c r="F204">
        <v>155</v>
      </c>
      <c r="G204">
        <v>4.4614791420283311</v>
      </c>
      <c r="H204">
        <v>-0.46147914202833107</v>
      </c>
      <c r="I204">
        <v>-0.68900539859133814</v>
      </c>
      <c r="J204"/>
      <c r="K204">
        <v>30.900000000000002</v>
      </c>
      <c r="L204">
        <v>5</v>
      </c>
      <c r="M204"/>
      <c r="N204"/>
    </row>
    <row r="205" spans="1:14" s="90" customFormat="1">
      <c r="A205" s="468">
        <v>5</v>
      </c>
      <c r="B205" s="468">
        <v>45</v>
      </c>
      <c r="C205" s="468">
        <v>3</v>
      </c>
      <c r="D205" s="468">
        <v>0</v>
      </c>
      <c r="F205">
        <v>156</v>
      </c>
      <c r="G205">
        <v>5.5215852085641393</v>
      </c>
      <c r="H205">
        <v>-0.52158520856413926</v>
      </c>
      <c r="I205">
        <v>-0.77874597527100875</v>
      </c>
      <c r="J205"/>
      <c r="K205">
        <v>31.1</v>
      </c>
      <c r="L205">
        <v>5</v>
      </c>
      <c r="M205"/>
      <c r="N205"/>
    </row>
    <row r="206" spans="1:14" s="90" customFormat="1">
      <c r="A206" s="468">
        <v>5</v>
      </c>
      <c r="B206" s="468">
        <v>51</v>
      </c>
      <c r="C206" s="468">
        <v>3</v>
      </c>
      <c r="D206" s="468">
        <v>0</v>
      </c>
      <c r="F206">
        <v>157</v>
      </c>
      <c r="G206">
        <v>6.150420636577703</v>
      </c>
      <c r="H206">
        <v>-0.15042063657770299</v>
      </c>
      <c r="I206">
        <v>-0.22458356450532793</v>
      </c>
      <c r="J206"/>
      <c r="K206">
        <v>31.300000000000004</v>
      </c>
      <c r="L206">
        <v>5</v>
      </c>
      <c r="M206"/>
      <c r="N206"/>
    </row>
    <row r="207" spans="1:14" s="90" customFormat="1">
      <c r="A207" s="468">
        <v>6</v>
      </c>
      <c r="B207" s="468">
        <v>23</v>
      </c>
      <c r="C207" s="468">
        <v>4</v>
      </c>
      <c r="D207" s="468">
        <v>1</v>
      </c>
      <c r="F207">
        <v>158</v>
      </c>
      <c r="G207">
        <v>5.5385149352573428</v>
      </c>
      <c r="H207">
        <v>-0.53851493525734284</v>
      </c>
      <c r="I207">
        <v>-0.80402268233305196</v>
      </c>
      <c r="J207"/>
      <c r="K207">
        <v>31.500000000000004</v>
      </c>
      <c r="L207">
        <v>5</v>
      </c>
      <c r="M207"/>
      <c r="N207"/>
    </row>
    <row r="208" spans="1:14" s="90" customFormat="1">
      <c r="A208" s="468">
        <v>7</v>
      </c>
      <c r="B208" s="468">
        <v>79</v>
      </c>
      <c r="C208" s="468">
        <v>4</v>
      </c>
      <c r="D208" s="468">
        <v>1</v>
      </c>
      <c r="F208">
        <v>159</v>
      </c>
      <c r="G208">
        <v>4.4345907525744206</v>
      </c>
      <c r="H208">
        <v>-0.43459075257442059</v>
      </c>
      <c r="I208">
        <v>-0.64886004031633004</v>
      </c>
      <c r="J208"/>
      <c r="K208">
        <v>31.700000000000003</v>
      </c>
      <c r="L208">
        <v>5</v>
      </c>
      <c r="M208"/>
      <c r="N208"/>
    </row>
    <row r="209" spans="1:14" s="90" customFormat="1">
      <c r="A209" s="468">
        <v>10</v>
      </c>
      <c r="B209" s="468">
        <v>38</v>
      </c>
      <c r="C209" s="468">
        <v>5</v>
      </c>
      <c r="D209" s="468">
        <v>0</v>
      </c>
      <c r="F209">
        <v>160</v>
      </c>
      <c r="G209">
        <v>4.4589894763381546</v>
      </c>
      <c r="H209">
        <v>-0.45898947633815457</v>
      </c>
      <c r="I209">
        <v>-0.68528823578809728</v>
      </c>
      <c r="J209"/>
      <c r="K209">
        <v>31.900000000000002</v>
      </c>
      <c r="L209">
        <v>5</v>
      </c>
      <c r="M209"/>
      <c r="N209"/>
    </row>
    <row r="210" spans="1:14" s="90" customFormat="1">
      <c r="A210" s="468">
        <v>5</v>
      </c>
      <c r="B210" s="468">
        <v>46</v>
      </c>
      <c r="C210" s="468">
        <v>3</v>
      </c>
      <c r="D210" s="468">
        <v>0</v>
      </c>
      <c r="F210">
        <v>161</v>
      </c>
      <c r="G210">
        <v>5.5454859991898378</v>
      </c>
      <c r="H210">
        <v>-0.54548599918983776</v>
      </c>
      <c r="I210">
        <v>-0.81443073818212752</v>
      </c>
      <c r="J210"/>
      <c r="K210">
        <v>32.1</v>
      </c>
      <c r="L210">
        <v>5</v>
      </c>
      <c r="M210"/>
      <c r="N210"/>
    </row>
    <row r="211" spans="1:14" s="90" customFormat="1">
      <c r="A211" s="468">
        <v>6</v>
      </c>
      <c r="B211" s="468">
        <v>31</v>
      </c>
      <c r="C211" s="468">
        <v>4</v>
      </c>
      <c r="D211" s="468">
        <v>1</v>
      </c>
      <c r="F211">
        <v>162</v>
      </c>
      <c r="G211">
        <v>4.4405659502308445</v>
      </c>
      <c r="H211">
        <v>-0.44056595023084455</v>
      </c>
      <c r="I211">
        <v>-0.65778123104410879</v>
      </c>
      <c r="J211"/>
      <c r="K211">
        <v>32.300000000000004</v>
      </c>
      <c r="L211">
        <v>5</v>
      </c>
      <c r="M211"/>
      <c r="N211"/>
    </row>
    <row r="212" spans="1:14" s="90" customFormat="1">
      <c r="A212" s="468">
        <v>3</v>
      </c>
      <c r="B212" s="468">
        <v>29</v>
      </c>
      <c r="C212" s="468">
        <v>0</v>
      </c>
      <c r="D212" s="468">
        <v>0</v>
      </c>
      <c r="F212">
        <v>163</v>
      </c>
      <c r="G212">
        <v>5.5220831417021747</v>
      </c>
      <c r="H212">
        <v>-0.52208314170217474</v>
      </c>
      <c r="I212">
        <v>-0.77948940783165721</v>
      </c>
      <c r="J212"/>
      <c r="K212">
        <v>32.5</v>
      </c>
      <c r="L212">
        <v>5</v>
      </c>
      <c r="M212"/>
      <c r="N212"/>
    </row>
    <row r="213" spans="1:14" s="90" customFormat="1">
      <c r="A213" s="468">
        <v>5</v>
      </c>
      <c r="B213" s="468">
        <v>85</v>
      </c>
      <c r="C213" s="468">
        <v>3</v>
      </c>
      <c r="D213" s="468">
        <v>0</v>
      </c>
      <c r="F213">
        <v>164</v>
      </c>
      <c r="G213">
        <v>6.6185383273145657</v>
      </c>
      <c r="H213">
        <v>1.3814616726854343</v>
      </c>
      <c r="I213">
        <v>2.0625732860724821</v>
      </c>
      <c r="J213"/>
      <c r="K213">
        <v>32.700000000000003</v>
      </c>
      <c r="L213">
        <v>5</v>
      </c>
      <c r="M213"/>
      <c r="N213"/>
    </row>
    <row r="214" spans="1:14" s="90" customFormat="1">
      <c r="A214" s="468">
        <v>5</v>
      </c>
      <c r="B214" s="468">
        <v>105</v>
      </c>
      <c r="C214" s="468">
        <v>3</v>
      </c>
      <c r="D214" s="468">
        <v>0</v>
      </c>
      <c r="F214">
        <v>165</v>
      </c>
      <c r="G214">
        <v>5.5494694642941216</v>
      </c>
      <c r="H214">
        <v>-0.54946946429412158</v>
      </c>
      <c r="I214">
        <v>-0.82037819866731509</v>
      </c>
      <c r="J214"/>
      <c r="K214">
        <v>32.900000000000006</v>
      </c>
      <c r="L214">
        <v>5</v>
      </c>
      <c r="M214"/>
      <c r="N214"/>
    </row>
    <row r="215" spans="1:14" s="90" customFormat="1">
      <c r="A215" s="468">
        <v>5</v>
      </c>
      <c r="B215" s="468">
        <v>28</v>
      </c>
      <c r="C215" s="468">
        <v>3</v>
      </c>
      <c r="D215" s="468">
        <v>1</v>
      </c>
      <c r="F215">
        <v>166</v>
      </c>
      <c r="G215">
        <v>6.130005377918252</v>
      </c>
      <c r="H215">
        <v>-0.13000537791825195</v>
      </c>
      <c r="I215">
        <v>-0.19410282951874691</v>
      </c>
      <c r="J215"/>
      <c r="K215">
        <v>33.1</v>
      </c>
      <c r="L215">
        <v>5</v>
      </c>
      <c r="M215"/>
      <c r="N215"/>
    </row>
    <row r="216" spans="1:14" s="90" customFormat="1">
      <c r="A216" s="468">
        <v>4</v>
      </c>
      <c r="B216" s="468">
        <v>82</v>
      </c>
      <c r="C216" s="468">
        <v>2</v>
      </c>
      <c r="D216" s="468">
        <v>0</v>
      </c>
      <c r="F216">
        <v>167</v>
      </c>
      <c r="G216">
        <v>5.5375190689812719</v>
      </c>
      <c r="H216">
        <v>-0.53751906898127189</v>
      </c>
      <c r="I216">
        <v>-0.80253581721175504</v>
      </c>
      <c r="J216"/>
      <c r="K216">
        <v>33.300000000000004</v>
      </c>
      <c r="L216">
        <v>5</v>
      </c>
      <c r="M216"/>
      <c r="N216"/>
    </row>
    <row r="217" spans="1:14" s="90" customFormat="1">
      <c r="A217" s="468">
        <v>4</v>
      </c>
      <c r="B217" s="468">
        <v>43</v>
      </c>
      <c r="C217" s="468">
        <v>2</v>
      </c>
      <c r="D217" s="468">
        <v>0</v>
      </c>
      <c r="F217">
        <v>168</v>
      </c>
      <c r="G217">
        <v>4.45948740947619</v>
      </c>
      <c r="H217">
        <v>-0.45948740947619005</v>
      </c>
      <c r="I217">
        <v>-0.68603166834874574</v>
      </c>
      <c r="J217"/>
      <c r="K217">
        <v>33.5</v>
      </c>
      <c r="L217">
        <v>5</v>
      </c>
      <c r="M217"/>
      <c r="N217"/>
    </row>
    <row r="218" spans="1:14" s="90" customFormat="1">
      <c r="A218" s="468">
        <v>5</v>
      </c>
      <c r="B218" s="468">
        <v>64</v>
      </c>
      <c r="C218" s="468">
        <v>3</v>
      </c>
      <c r="D218" s="468">
        <v>0</v>
      </c>
      <c r="F218">
        <v>169</v>
      </c>
      <c r="G218">
        <v>4.4375783514026335</v>
      </c>
      <c r="H218">
        <v>-0.43757835140263346</v>
      </c>
      <c r="I218">
        <v>-0.6533206356802207</v>
      </c>
      <c r="J218"/>
      <c r="K218">
        <v>33.700000000000003</v>
      </c>
      <c r="L218">
        <v>5</v>
      </c>
      <c r="M218"/>
      <c r="N218"/>
    </row>
    <row r="219" spans="1:14" s="90" customFormat="1">
      <c r="A219" s="468">
        <v>7</v>
      </c>
      <c r="B219" s="468">
        <v>85</v>
      </c>
      <c r="C219" s="468">
        <v>4</v>
      </c>
      <c r="D219" s="468">
        <v>0</v>
      </c>
      <c r="F219">
        <v>170</v>
      </c>
      <c r="G219">
        <v>6.1409599069550307</v>
      </c>
      <c r="H219">
        <v>-0.14095990695503069</v>
      </c>
      <c r="I219">
        <v>-0.2104583458530101</v>
      </c>
      <c r="J219"/>
      <c r="K219">
        <v>33.900000000000006</v>
      </c>
      <c r="L219">
        <v>5</v>
      </c>
      <c r="M219"/>
      <c r="N219"/>
    </row>
    <row r="220" spans="1:14" s="90" customFormat="1">
      <c r="A220" s="468">
        <v>4</v>
      </c>
      <c r="B220" s="468">
        <v>35</v>
      </c>
      <c r="C220" s="468">
        <v>2</v>
      </c>
      <c r="D220" s="468">
        <v>0</v>
      </c>
      <c r="F220">
        <v>171</v>
      </c>
      <c r="G220">
        <v>4.4540101449578007</v>
      </c>
      <c r="H220">
        <v>-0.45401014495780068</v>
      </c>
      <c r="I220">
        <v>-0.67785391018161412</v>
      </c>
      <c r="J220"/>
      <c r="K220">
        <v>34.1</v>
      </c>
      <c r="L220">
        <v>5</v>
      </c>
      <c r="M220"/>
      <c r="N220"/>
    </row>
    <row r="221" spans="1:14" s="90" customFormat="1">
      <c r="A221" s="468">
        <v>4</v>
      </c>
      <c r="B221" s="468">
        <v>71</v>
      </c>
      <c r="C221" s="468">
        <v>2</v>
      </c>
      <c r="D221" s="468">
        <v>0</v>
      </c>
      <c r="F221">
        <v>172</v>
      </c>
      <c r="G221">
        <v>6.6205300598667076</v>
      </c>
      <c r="H221">
        <v>0.37946994013329238</v>
      </c>
      <c r="I221">
        <v>0.56656263207432034</v>
      </c>
      <c r="J221"/>
      <c r="K221">
        <v>34.300000000000004</v>
      </c>
      <c r="L221">
        <v>5</v>
      </c>
      <c r="M221"/>
      <c r="N221"/>
    </row>
    <row r="222" spans="1:14" s="90" customFormat="1">
      <c r="A222" s="468">
        <v>7</v>
      </c>
      <c r="B222" s="468">
        <v>33</v>
      </c>
      <c r="C222" s="468">
        <v>4</v>
      </c>
      <c r="D222" s="468">
        <v>1</v>
      </c>
      <c r="F222">
        <v>173</v>
      </c>
      <c r="G222">
        <v>6.130005377918252</v>
      </c>
      <c r="H222">
        <v>-0.13000537791825195</v>
      </c>
      <c r="I222">
        <v>-0.19410282951874691</v>
      </c>
      <c r="J222"/>
      <c r="K222">
        <v>34.5</v>
      </c>
      <c r="L222">
        <v>5</v>
      </c>
      <c r="M222"/>
      <c r="N222"/>
    </row>
    <row r="223" spans="1:14" s="90" customFormat="1">
      <c r="A223" s="468">
        <v>5</v>
      </c>
      <c r="B223" s="468">
        <v>80</v>
      </c>
      <c r="C223" s="468">
        <v>3</v>
      </c>
      <c r="D223" s="468">
        <v>0</v>
      </c>
      <c r="F223">
        <v>174</v>
      </c>
      <c r="G223">
        <v>5.2800573661251775</v>
      </c>
      <c r="H223">
        <v>-0.28005736612517751</v>
      </c>
      <c r="I223">
        <v>-0.41813598839462179</v>
      </c>
      <c r="J223"/>
      <c r="K223">
        <v>34.700000000000003</v>
      </c>
      <c r="L223">
        <v>5</v>
      </c>
      <c r="M223"/>
      <c r="N223"/>
    </row>
    <row r="224" spans="1:14" s="90" customFormat="1">
      <c r="A224" s="468">
        <v>3</v>
      </c>
      <c r="B224" s="468">
        <v>35</v>
      </c>
      <c r="C224" s="468">
        <v>0</v>
      </c>
      <c r="D224" s="468">
        <v>0</v>
      </c>
      <c r="F224">
        <v>175</v>
      </c>
      <c r="G224">
        <v>5.2870284300576733</v>
      </c>
      <c r="H224">
        <v>-0.28702843005767331</v>
      </c>
      <c r="I224">
        <v>-0.42854404424369874</v>
      </c>
      <c r="J224"/>
      <c r="K224">
        <v>34.900000000000006</v>
      </c>
      <c r="L224">
        <v>5</v>
      </c>
      <c r="M224"/>
      <c r="N224"/>
    </row>
    <row r="225" spans="1:14" s="90" customFormat="1">
      <c r="A225" s="468">
        <v>4</v>
      </c>
      <c r="B225" s="468">
        <v>54</v>
      </c>
      <c r="C225" s="468">
        <v>2</v>
      </c>
      <c r="D225" s="468">
        <v>2</v>
      </c>
      <c r="F225">
        <v>176</v>
      </c>
      <c r="G225">
        <v>6.1364785087127123</v>
      </c>
      <c r="H225">
        <v>-0.13647850871271228</v>
      </c>
      <c r="I225">
        <v>-0.2037674528071754</v>
      </c>
      <c r="J225"/>
      <c r="K225">
        <v>35.1</v>
      </c>
      <c r="L225">
        <v>5</v>
      </c>
      <c r="M225"/>
      <c r="N225"/>
    </row>
    <row r="226" spans="1:14" s="90" customFormat="1">
      <c r="A226" s="468">
        <v>4</v>
      </c>
      <c r="B226" s="468">
        <v>39</v>
      </c>
      <c r="C226" s="468">
        <v>2</v>
      </c>
      <c r="D226" s="468">
        <v>1</v>
      </c>
      <c r="F226">
        <v>177</v>
      </c>
      <c r="G226">
        <v>6.6180403941765302</v>
      </c>
      <c r="H226">
        <v>0.38195960582346977</v>
      </c>
      <c r="I226">
        <v>0.57027979487756253</v>
      </c>
      <c r="J226"/>
      <c r="K226">
        <v>35.300000000000004</v>
      </c>
      <c r="L226">
        <v>5</v>
      </c>
      <c r="M226"/>
      <c r="N226"/>
    </row>
    <row r="227" spans="1:14" s="90" customFormat="1">
      <c r="A227" s="468">
        <v>8</v>
      </c>
      <c r="B227" s="468">
        <v>66</v>
      </c>
      <c r="C227" s="468">
        <v>4</v>
      </c>
      <c r="D227" s="468">
        <v>0</v>
      </c>
      <c r="F227">
        <v>178</v>
      </c>
      <c r="G227">
        <v>2.2820129655305044</v>
      </c>
      <c r="H227">
        <v>0.71798703446949563</v>
      </c>
      <c r="I227">
        <v>1.0719811532407186</v>
      </c>
      <c r="J227"/>
      <c r="K227">
        <v>35.5</v>
      </c>
      <c r="L227">
        <v>5</v>
      </c>
      <c r="M227"/>
      <c r="N227"/>
    </row>
    <row r="228" spans="1:14" s="90" customFormat="1">
      <c r="A228" s="468">
        <v>6</v>
      </c>
      <c r="B228" s="468">
        <v>25</v>
      </c>
      <c r="C228" s="468">
        <v>4</v>
      </c>
      <c r="D228" s="468">
        <v>0</v>
      </c>
      <c r="F228">
        <v>179</v>
      </c>
      <c r="G228">
        <v>5.277567700435001</v>
      </c>
      <c r="H228">
        <v>-0.27756770043500101</v>
      </c>
      <c r="I228">
        <v>-0.41441882559138088</v>
      </c>
      <c r="J228"/>
      <c r="K228">
        <v>35.700000000000003</v>
      </c>
      <c r="L228">
        <v>5</v>
      </c>
      <c r="M228"/>
      <c r="N228"/>
    </row>
    <row r="229" spans="1:14" s="90" customFormat="1">
      <c r="A229" s="468">
        <v>6</v>
      </c>
      <c r="B229" s="468">
        <v>61</v>
      </c>
      <c r="C229" s="468">
        <v>4</v>
      </c>
      <c r="D229" s="468">
        <v>1</v>
      </c>
      <c r="F229">
        <v>180</v>
      </c>
      <c r="G229">
        <v>4.44006801709281</v>
      </c>
      <c r="H229">
        <v>-0.44006801709280996</v>
      </c>
      <c r="I229">
        <v>-0.65703779848346167</v>
      </c>
      <c r="J229"/>
      <c r="K229">
        <v>35.900000000000006</v>
      </c>
      <c r="L229">
        <v>5</v>
      </c>
      <c r="M229"/>
      <c r="N229"/>
    </row>
    <row r="230" spans="1:14" s="90" customFormat="1">
      <c r="A230" s="468">
        <v>8</v>
      </c>
      <c r="B230" s="468">
        <v>133</v>
      </c>
      <c r="C230" s="468">
        <v>4</v>
      </c>
      <c r="D230" s="468">
        <v>0</v>
      </c>
      <c r="F230">
        <v>181</v>
      </c>
      <c r="G230">
        <v>5.5230790079782457</v>
      </c>
      <c r="H230">
        <v>-0.52307900797824569</v>
      </c>
      <c r="I230">
        <v>-0.78097627295295402</v>
      </c>
      <c r="J230"/>
      <c r="K230">
        <v>36.1</v>
      </c>
      <c r="L230">
        <v>5</v>
      </c>
      <c r="M230"/>
      <c r="N230"/>
    </row>
    <row r="231" spans="1:14" s="90" customFormat="1">
      <c r="A231" s="468">
        <v>4</v>
      </c>
      <c r="B231" s="468">
        <v>65</v>
      </c>
      <c r="C231" s="468">
        <v>2</v>
      </c>
      <c r="D231" s="468">
        <v>0</v>
      </c>
      <c r="F231">
        <v>182</v>
      </c>
      <c r="G231">
        <v>6.6414432516641941</v>
      </c>
      <c r="H231">
        <v>1.3585567483358059</v>
      </c>
      <c r="I231">
        <v>2.0283753882826585</v>
      </c>
      <c r="J231"/>
      <c r="K231">
        <v>36.300000000000004</v>
      </c>
      <c r="L231">
        <v>5</v>
      </c>
      <c r="M231"/>
      <c r="N231"/>
    </row>
    <row r="232" spans="1:14" s="90" customFormat="1">
      <c r="A232" s="468">
        <v>6</v>
      </c>
      <c r="B232" s="468">
        <v>49</v>
      </c>
      <c r="C232" s="468">
        <v>4</v>
      </c>
      <c r="D232" s="468">
        <v>1</v>
      </c>
      <c r="F232">
        <v>183</v>
      </c>
      <c r="G232">
        <v>6.3894588133264891</v>
      </c>
      <c r="H232">
        <v>0.61054118667351087</v>
      </c>
      <c r="I232">
        <v>0.91156053517709257</v>
      </c>
      <c r="J232"/>
      <c r="K232">
        <v>36.5</v>
      </c>
      <c r="L232">
        <v>5</v>
      </c>
      <c r="M232"/>
      <c r="N232"/>
    </row>
    <row r="233" spans="1:14" s="90" customFormat="1">
      <c r="A233" s="468">
        <v>6</v>
      </c>
      <c r="B233" s="468">
        <v>62</v>
      </c>
      <c r="C233" s="468">
        <v>4</v>
      </c>
      <c r="D233" s="468">
        <v>1</v>
      </c>
      <c r="F233">
        <v>184</v>
      </c>
      <c r="G233">
        <v>5.534531470153059</v>
      </c>
      <c r="H233">
        <v>-0.53453147015305902</v>
      </c>
      <c r="I233">
        <v>-0.79807522184786439</v>
      </c>
      <c r="J233"/>
      <c r="K233">
        <v>36.700000000000003</v>
      </c>
      <c r="L233">
        <v>5</v>
      </c>
      <c r="M233"/>
      <c r="N233"/>
    </row>
    <row r="234" spans="1:14" s="90" customFormat="1">
      <c r="A234" s="468">
        <v>6</v>
      </c>
      <c r="B234" s="468">
        <v>43</v>
      </c>
      <c r="C234" s="468">
        <v>4</v>
      </c>
      <c r="D234" s="468">
        <v>0</v>
      </c>
      <c r="F234">
        <v>185</v>
      </c>
      <c r="G234">
        <v>2.2705605033556906</v>
      </c>
      <c r="H234">
        <v>0.7294394966443094</v>
      </c>
      <c r="I234">
        <v>1.0890801021356296</v>
      </c>
      <c r="J234"/>
      <c r="K234">
        <v>36.900000000000006</v>
      </c>
      <c r="L234">
        <v>5</v>
      </c>
      <c r="M234"/>
      <c r="N234"/>
    </row>
    <row r="235" spans="1:14" s="90" customFormat="1">
      <c r="A235" s="468">
        <v>7</v>
      </c>
      <c r="B235" s="468">
        <v>94</v>
      </c>
      <c r="C235" s="468">
        <v>4</v>
      </c>
      <c r="D235" s="468">
        <v>1</v>
      </c>
      <c r="F235">
        <v>186</v>
      </c>
      <c r="G235">
        <v>4.442059749644951</v>
      </c>
      <c r="H235">
        <v>-0.44205974964495098</v>
      </c>
      <c r="I235">
        <v>-0.66001152872605406</v>
      </c>
      <c r="J235"/>
      <c r="K235">
        <v>37.1</v>
      </c>
      <c r="L235">
        <v>5</v>
      </c>
      <c r="M235"/>
      <c r="N235"/>
    </row>
    <row r="236" spans="1:14" s="90" customFormat="1">
      <c r="A236" s="468">
        <v>5</v>
      </c>
      <c r="B236" s="468">
        <v>118</v>
      </c>
      <c r="C236" s="468">
        <v>3</v>
      </c>
      <c r="D236" s="468">
        <v>0</v>
      </c>
      <c r="F236">
        <v>187</v>
      </c>
      <c r="G236">
        <v>6.6155507284863537</v>
      </c>
      <c r="H236">
        <v>-0.61555072848635373</v>
      </c>
      <c r="I236">
        <v>-0.91903996607476435</v>
      </c>
      <c r="J236"/>
      <c r="K236">
        <v>37.300000000000004</v>
      </c>
      <c r="L236">
        <v>5</v>
      </c>
      <c r="M236"/>
      <c r="N236"/>
    </row>
    <row r="237" spans="1:14" s="90" customFormat="1">
      <c r="A237" s="468">
        <v>8</v>
      </c>
      <c r="B237" s="468">
        <v>56</v>
      </c>
      <c r="C237" s="468">
        <v>4</v>
      </c>
      <c r="D237" s="468">
        <v>0</v>
      </c>
      <c r="F237">
        <v>188</v>
      </c>
      <c r="G237">
        <v>6.1549020348200214</v>
      </c>
      <c r="H237">
        <v>-0.15490203482002141</v>
      </c>
      <c r="I237">
        <v>-0.2312744575511626</v>
      </c>
      <c r="J237"/>
      <c r="K237">
        <v>37.5</v>
      </c>
      <c r="L237">
        <v>5</v>
      </c>
      <c r="M237"/>
      <c r="N237"/>
    </row>
    <row r="238" spans="1:14" s="90" customFormat="1">
      <c r="A238" s="468">
        <v>7</v>
      </c>
      <c r="B238" s="468">
        <v>34</v>
      </c>
      <c r="C238" s="468">
        <v>4</v>
      </c>
      <c r="D238" s="468">
        <v>2</v>
      </c>
      <c r="F238">
        <v>189</v>
      </c>
      <c r="G238">
        <v>6.1439475057832427</v>
      </c>
      <c r="H238">
        <v>-0.14394750578324267</v>
      </c>
      <c r="I238">
        <v>-0.21491894121689945</v>
      </c>
      <c r="J238"/>
      <c r="K238">
        <v>37.700000000000003</v>
      </c>
      <c r="L238">
        <v>5</v>
      </c>
      <c r="M238"/>
      <c r="N238"/>
    </row>
    <row r="239" spans="1:14" s="90" customFormat="1">
      <c r="A239" s="468">
        <v>3</v>
      </c>
      <c r="B239" s="468">
        <v>85</v>
      </c>
      <c r="C239" s="468">
        <v>0</v>
      </c>
      <c r="D239" s="468">
        <v>0</v>
      </c>
      <c r="F239">
        <v>190</v>
      </c>
      <c r="G239">
        <v>5.5464818654659087</v>
      </c>
      <c r="H239">
        <v>-0.54648186546590871</v>
      </c>
      <c r="I239">
        <v>-0.81591760330342444</v>
      </c>
      <c r="J239"/>
      <c r="K239">
        <v>37.900000000000006</v>
      </c>
      <c r="L239">
        <v>5</v>
      </c>
      <c r="M239"/>
      <c r="N239"/>
    </row>
    <row r="240" spans="1:14" s="90" customFormat="1">
      <c r="A240" s="468">
        <v>5</v>
      </c>
      <c r="B240" s="468">
        <v>29</v>
      </c>
      <c r="C240" s="468">
        <v>3</v>
      </c>
      <c r="D240" s="468">
        <v>0</v>
      </c>
      <c r="F240">
        <v>191</v>
      </c>
      <c r="G240">
        <v>5.5420004672235903</v>
      </c>
      <c r="H240">
        <v>-0.5420004672235903</v>
      </c>
      <c r="I240">
        <v>-0.80922671025758974</v>
      </c>
      <c r="J240"/>
      <c r="K240">
        <v>38.1</v>
      </c>
      <c r="L240">
        <v>5</v>
      </c>
      <c r="M240"/>
      <c r="N240"/>
    </row>
    <row r="241" spans="1:14" s="90" customFormat="1">
      <c r="A241" s="468">
        <v>4</v>
      </c>
      <c r="B241" s="468">
        <v>56</v>
      </c>
      <c r="C241" s="468">
        <v>2</v>
      </c>
      <c r="D241" s="468">
        <v>0</v>
      </c>
      <c r="F241">
        <v>192</v>
      </c>
      <c r="G241">
        <v>6.377010484875604</v>
      </c>
      <c r="H241">
        <v>-0.37701048487560396</v>
      </c>
      <c r="I241">
        <v>-0.56289057456226677</v>
      </c>
      <c r="J241"/>
      <c r="K241">
        <v>38.300000000000004</v>
      </c>
      <c r="L241">
        <v>5</v>
      </c>
      <c r="M241"/>
      <c r="N241"/>
    </row>
    <row r="242" spans="1:14" s="90" customFormat="1">
      <c r="A242" s="468">
        <v>5</v>
      </c>
      <c r="B242" s="468">
        <v>44</v>
      </c>
      <c r="C242" s="468">
        <v>3</v>
      </c>
      <c r="D242" s="468">
        <v>0</v>
      </c>
      <c r="F242">
        <v>193</v>
      </c>
      <c r="G242">
        <v>2.2745439684599735</v>
      </c>
      <c r="H242">
        <v>0.72545603154002647</v>
      </c>
      <c r="I242">
        <v>1.0831326416504432</v>
      </c>
      <c r="J242"/>
      <c r="K242">
        <v>38.500000000000007</v>
      </c>
      <c r="L242">
        <v>5</v>
      </c>
      <c r="M242"/>
      <c r="N242"/>
    </row>
    <row r="243" spans="1:14" s="90" customFormat="1">
      <c r="A243" s="468">
        <v>7</v>
      </c>
      <c r="B243" s="468">
        <v>82</v>
      </c>
      <c r="C243" s="468">
        <v>4</v>
      </c>
      <c r="D243" s="468">
        <v>1</v>
      </c>
      <c r="F243">
        <v>194</v>
      </c>
      <c r="G243">
        <v>6.6215259261427786</v>
      </c>
      <c r="H243">
        <v>1.3784740738572214</v>
      </c>
      <c r="I243">
        <v>2.0581126907085912</v>
      </c>
      <c r="J243"/>
      <c r="K243">
        <v>38.700000000000003</v>
      </c>
      <c r="L243">
        <v>5</v>
      </c>
      <c r="M243"/>
      <c r="N243"/>
    </row>
    <row r="244" spans="1:14" s="90" customFormat="1">
      <c r="A244" s="468">
        <v>3</v>
      </c>
      <c r="B244" s="468">
        <v>54</v>
      </c>
      <c r="C244" s="468">
        <v>0</v>
      </c>
      <c r="D244" s="468">
        <v>0</v>
      </c>
      <c r="F244">
        <v>195</v>
      </c>
      <c r="G244">
        <v>6.3745208191854275</v>
      </c>
      <c r="H244">
        <v>-0.37452081918542746</v>
      </c>
      <c r="I244">
        <v>-0.55917341175902591</v>
      </c>
      <c r="J244"/>
      <c r="K244">
        <v>38.900000000000006</v>
      </c>
      <c r="L244">
        <v>5</v>
      </c>
      <c r="M244"/>
      <c r="N244"/>
    </row>
    <row r="245" spans="1:14" s="90" customFormat="1">
      <c r="A245" s="468">
        <v>8</v>
      </c>
      <c r="B245" s="468">
        <v>37</v>
      </c>
      <c r="C245" s="468">
        <v>4</v>
      </c>
      <c r="D245" s="468">
        <v>0</v>
      </c>
      <c r="F245">
        <v>196</v>
      </c>
      <c r="G245">
        <v>6.3999154092252324</v>
      </c>
      <c r="H245">
        <v>-0.39991540922523239</v>
      </c>
      <c r="I245">
        <v>-0.59708847235208995</v>
      </c>
      <c r="J245"/>
      <c r="K245">
        <v>39.1</v>
      </c>
      <c r="L245">
        <v>5</v>
      </c>
      <c r="M245"/>
      <c r="N245"/>
    </row>
    <row r="246" spans="1:14" s="90" customFormat="1">
      <c r="A246" s="468">
        <v>5</v>
      </c>
      <c r="B246" s="468">
        <v>24</v>
      </c>
      <c r="C246" s="468">
        <v>3</v>
      </c>
      <c r="D246" s="468">
        <v>0</v>
      </c>
      <c r="F246">
        <v>197</v>
      </c>
      <c r="G246">
        <v>2.2850005643587168</v>
      </c>
      <c r="H246">
        <v>0.71499943564128321</v>
      </c>
      <c r="I246">
        <v>1.0675205578768285</v>
      </c>
      <c r="J246"/>
      <c r="K246">
        <v>39.300000000000004</v>
      </c>
      <c r="L246">
        <v>5</v>
      </c>
      <c r="M246"/>
      <c r="N246"/>
    </row>
    <row r="247" spans="1:14" s="90" customFormat="1">
      <c r="A247" s="468">
        <v>8</v>
      </c>
      <c r="B247" s="468">
        <v>117</v>
      </c>
      <c r="C247" s="468">
        <v>4</v>
      </c>
      <c r="D247" s="468">
        <v>0</v>
      </c>
      <c r="F247">
        <v>198</v>
      </c>
      <c r="G247">
        <v>6.1384702412648542</v>
      </c>
      <c r="H247">
        <v>-0.13847024126485419</v>
      </c>
      <c r="I247">
        <v>-0.20674118304976918</v>
      </c>
      <c r="J247"/>
      <c r="K247">
        <v>39.500000000000007</v>
      </c>
      <c r="L247">
        <v>5</v>
      </c>
      <c r="M247"/>
      <c r="N247"/>
    </row>
    <row r="248" spans="1:14" s="90" customFormat="1">
      <c r="A248" s="468">
        <v>6</v>
      </c>
      <c r="B248" s="468">
        <v>90</v>
      </c>
      <c r="C248" s="468">
        <v>4</v>
      </c>
      <c r="D248" s="468">
        <v>2</v>
      </c>
      <c r="F248">
        <v>199</v>
      </c>
      <c r="G248">
        <v>4.4500266798535177</v>
      </c>
      <c r="H248">
        <v>-0.45002667985351774</v>
      </c>
      <c r="I248">
        <v>-0.67190644969642788</v>
      </c>
      <c r="J248"/>
      <c r="K248">
        <v>39.700000000000003</v>
      </c>
      <c r="L248">
        <v>5</v>
      </c>
      <c r="M248"/>
      <c r="N248"/>
    </row>
    <row r="249" spans="1:14" s="90" customFormat="1">
      <c r="A249" s="468">
        <v>5</v>
      </c>
      <c r="B249" s="468">
        <v>20</v>
      </c>
      <c r="C249" s="468">
        <v>3</v>
      </c>
      <c r="D249" s="468">
        <v>0</v>
      </c>
      <c r="F249">
        <v>200</v>
      </c>
      <c r="G249">
        <v>6.1479309708875265</v>
      </c>
      <c r="H249">
        <v>0.85206902911247351</v>
      </c>
      <c r="I249">
        <v>1.2721705220534809</v>
      </c>
      <c r="J249"/>
      <c r="K249">
        <v>39.900000000000006</v>
      </c>
      <c r="L249">
        <v>5</v>
      </c>
      <c r="M249"/>
      <c r="N249"/>
    </row>
    <row r="250" spans="1:14" s="90" customFormat="1">
      <c r="A250" s="468">
        <v>3</v>
      </c>
      <c r="B250" s="468">
        <v>50</v>
      </c>
      <c r="C250" s="468">
        <v>0</v>
      </c>
      <c r="D250" s="468">
        <v>0</v>
      </c>
      <c r="F250">
        <v>201</v>
      </c>
      <c r="G250">
        <v>2.256120442352664</v>
      </c>
      <c r="H250">
        <v>0.74387955764733604</v>
      </c>
      <c r="I250">
        <v>1.1106396463944312</v>
      </c>
      <c r="J250"/>
      <c r="K250">
        <v>40.1</v>
      </c>
      <c r="L250">
        <v>5</v>
      </c>
      <c r="M250"/>
      <c r="N250"/>
    </row>
    <row r="251" spans="1:14" s="90" customFormat="1">
      <c r="A251" s="468">
        <v>5</v>
      </c>
      <c r="B251" s="468">
        <v>49</v>
      </c>
      <c r="C251" s="468">
        <v>3</v>
      </c>
      <c r="D251" s="468">
        <v>0</v>
      </c>
      <c r="F251">
        <v>202</v>
      </c>
      <c r="G251">
        <v>5.532539737600918</v>
      </c>
      <c r="H251">
        <v>-0.532539737600918</v>
      </c>
      <c r="I251">
        <v>-0.79510149160527188</v>
      </c>
      <c r="J251"/>
      <c r="K251">
        <v>40.300000000000004</v>
      </c>
      <c r="L251">
        <v>5</v>
      </c>
      <c r="M251"/>
      <c r="N251"/>
    </row>
    <row r="252" spans="1:14" s="90" customFormat="1">
      <c r="A252" s="468">
        <v>6</v>
      </c>
      <c r="B252" s="468">
        <v>55</v>
      </c>
      <c r="C252" s="468">
        <v>4</v>
      </c>
      <c r="D252" s="468">
        <v>1</v>
      </c>
      <c r="F252">
        <v>203</v>
      </c>
      <c r="G252">
        <v>5.53552733642913</v>
      </c>
      <c r="H252">
        <v>-0.53552733642912997</v>
      </c>
      <c r="I252">
        <v>-0.7995620869691612</v>
      </c>
      <c r="J252"/>
      <c r="K252">
        <v>40.500000000000007</v>
      </c>
      <c r="L252">
        <v>5</v>
      </c>
      <c r="M252"/>
      <c r="N252"/>
    </row>
    <row r="253" spans="1:14" s="90" customFormat="1">
      <c r="A253" s="468">
        <v>7</v>
      </c>
      <c r="B253" s="468">
        <v>44</v>
      </c>
      <c r="C253" s="468">
        <v>4</v>
      </c>
      <c r="D253" s="468">
        <v>1</v>
      </c>
      <c r="F253">
        <v>204</v>
      </c>
      <c r="G253">
        <v>6.3650600895627543</v>
      </c>
      <c r="H253">
        <v>-0.36506008956275426</v>
      </c>
      <c r="I253">
        <v>-0.54504819310670671</v>
      </c>
      <c r="J253"/>
      <c r="K253">
        <v>40.700000000000003</v>
      </c>
      <c r="L253">
        <v>5</v>
      </c>
      <c r="M253"/>
      <c r="N253"/>
    </row>
    <row r="254" spans="1:14" s="90" customFormat="1">
      <c r="A254" s="468">
        <v>7</v>
      </c>
      <c r="B254" s="468">
        <v>29</v>
      </c>
      <c r="C254" s="468">
        <v>4</v>
      </c>
      <c r="D254" s="468">
        <v>1</v>
      </c>
      <c r="F254">
        <v>205</v>
      </c>
      <c r="G254">
        <v>6.3929443452927366</v>
      </c>
      <c r="H254">
        <v>0.60705565470726341</v>
      </c>
      <c r="I254">
        <v>0.90635650725255479</v>
      </c>
      <c r="J254"/>
      <c r="K254">
        <v>40.900000000000006</v>
      </c>
      <c r="L254">
        <v>5</v>
      </c>
      <c r="M254"/>
      <c r="N254"/>
    </row>
    <row r="255" spans="1:14" s="90" customFormat="1">
      <c r="A255" s="468">
        <v>7</v>
      </c>
      <c r="B255" s="468">
        <v>64</v>
      </c>
      <c r="C255" s="468">
        <v>4</v>
      </c>
      <c r="D255" s="468">
        <v>0</v>
      </c>
      <c r="F255">
        <v>206</v>
      </c>
      <c r="G255">
        <v>7.7010513850619668</v>
      </c>
      <c r="H255">
        <v>2.2989486149380332</v>
      </c>
      <c r="I255">
        <v>3.4324151679192045</v>
      </c>
      <c r="J255"/>
      <c r="K255">
        <v>41.1</v>
      </c>
      <c r="L255">
        <v>5</v>
      </c>
      <c r="M255"/>
      <c r="N255"/>
    </row>
    <row r="256" spans="1:14" s="90" customFormat="1">
      <c r="A256" s="468">
        <v>5</v>
      </c>
      <c r="B256" s="468">
        <v>72</v>
      </c>
      <c r="C256" s="468">
        <v>3</v>
      </c>
      <c r="D256" s="468">
        <v>0</v>
      </c>
      <c r="F256">
        <v>207</v>
      </c>
      <c r="G256">
        <v>5.5330376707389535</v>
      </c>
      <c r="H256">
        <v>-0.53303767073895347</v>
      </c>
      <c r="I256">
        <v>-0.79584492416592034</v>
      </c>
      <c r="J256"/>
      <c r="K256">
        <v>41.300000000000004</v>
      </c>
      <c r="L256">
        <v>5</v>
      </c>
      <c r="M256"/>
      <c r="N256"/>
    </row>
    <row r="257" spans="1:14" s="90" customFormat="1">
      <c r="A257" s="468">
        <v>6</v>
      </c>
      <c r="B257" s="468">
        <v>60</v>
      </c>
      <c r="C257" s="468">
        <v>4</v>
      </c>
      <c r="D257" s="468">
        <v>1</v>
      </c>
      <c r="F257">
        <v>208</v>
      </c>
      <c r="G257">
        <v>6.3690435546670381</v>
      </c>
      <c r="H257">
        <v>-0.36904355466703809</v>
      </c>
      <c r="I257">
        <v>-0.55099565359189429</v>
      </c>
      <c r="J257"/>
      <c r="K257">
        <v>41.500000000000007</v>
      </c>
      <c r="L257">
        <v>5</v>
      </c>
      <c r="M257"/>
      <c r="N257"/>
    </row>
    <row r="258" spans="1:14" s="90" customFormat="1">
      <c r="A258" s="468">
        <v>6</v>
      </c>
      <c r="B258" s="468">
        <v>50</v>
      </c>
      <c r="C258" s="468">
        <v>4</v>
      </c>
      <c r="D258" s="468">
        <v>1</v>
      </c>
      <c r="F258">
        <v>209</v>
      </c>
      <c r="G258">
        <v>2.2665770382514072</v>
      </c>
      <c r="H258">
        <v>0.73342296174859278</v>
      </c>
      <c r="I258">
        <v>1.0950275626208164</v>
      </c>
      <c r="J258"/>
      <c r="K258">
        <v>41.7</v>
      </c>
      <c r="L258">
        <v>5</v>
      </c>
      <c r="M258"/>
      <c r="N258"/>
    </row>
    <row r="259" spans="1:14" s="90" customFormat="1">
      <c r="A259" s="468">
        <v>3</v>
      </c>
      <c r="B259" s="468">
        <v>93</v>
      </c>
      <c r="C259" s="468">
        <v>0</v>
      </c>
      <c r="D259" s="468">
        <v>0</v>
      </c>
      <c r="F259">
        <v>210</v>
      </c>
      <c r="G259">
        <v>5.5524570631223336</v>
      </c>
      <c r="H259">
        <v>-0.55245706312233356</v>
      </c>
      <c r="I259">
        <v>-0.82483879403120441</v>
      </c>
      <c r="J259"/>
      <c r="K259">
        <v>41.900000000000006</v>
      </c>
      <c r="L259">
        <v>5</v>
      </c>
      <c r="M259"/>
      <c r="N259"/>
    </row>
    <row r="260" spans="1:14" s="90" customFormat="1">
      <c r="A260" s="468">
        <v>5</v>
      </c>
      <c r="B260" s="468">
        <v>77</v>
      </c>
      <c r="C260" s="468">
        <v>3</v>
      </c>
      <c r="D260" s="468">
        <v>0</v>
      </c>
      <c r="F260">
        <v>211</v>
      </c>
      <c r="G260">
        <v>5.5624157258830413</v>
      </c>
      <c r="H260">
        <v>-0.56241572588304134</v>
      </c>
      <c r="I260">
        <v>-0.83970744524417074</v>
      </c>
      <c r="J260"/>
      <c r="K260">
        <v>42.1</v>
      </c>
      <c r="L260">
        <v>5</v>
      </c>
      <c r="M260"/>
      <c r="N260"/>
    </row>
    <row r="261" spans="1:14" s="90" customFormat="1">
      <c r="A261" s="468">
        <v>6</v>
      </c>
      <c r="B261" s="468">
        <v>45</v>
      </c>
      <c r="C261" s="468">
        <v>4</v>
      </c>
      <c r="D261" s="468">
        <v>0</v>
      </c>
      <c r="F261">
        <v>212</v>
      </c>
      <c r="G261">
        <v>5.2815511655392831</v>
      </c>
      <c r="H261">
        <v>-0.28155116553928305</v>
      </c>
      <c r="I261">
        <v>-0.42036628607656579</v>
      </c>
      <c r="J261"/>
      <c r="K261">
        <v>42.300000000000004</v>
      </c>
      <c r="L261">
        <v>5</v>
      </c>
      <c r="M261"/>
      <c r="N261"/>
    </row>
    <row r="262" spans="1:14" s="90" customFormat="1">
      <c r="A262" s="468">
        <v>6</v>
      </c>
      <c r="B262" s="468">
        <v>29</v>
      </c>
      <c r="C262" s="468">
        <v>4</v>
      </c>
      <c r="D262" s="468">
        <v>0</v>
      </c>
      <c r="F262">
        <v>213</v>
      </c>
      <c r="G262">
        <v>4.4649646739945794</v>
      </c>
      <c r="H262">
        <v>-0.46496467399457941</v>
      </c>
      <c r="I262">
        <v>-0.69420942651587736</v>
      </c>
      <c r="J262"/>
      <c r="K262">
        <v>42.500000000000007</v>
      </c>
      <c r="L262">
        <v>5</v>
      </c>
      <c r="M262"/>
      <c r="N262"/>
    </row>
    <row r="263" spans="1:14" s="90" customFormat="1">
      <c r="A263" s="468">
        <v>6</v>
      </c>
      <c r="B263" s="468">
        <v>60</v>
      </c>
      <c r="C263" s="468">
        <v>4</v>
      </c>
      <c r="D263" s="468">
        <v>1</v>
      </c>
      <c r="F263">
        <v>214</v>
      </c>
      <c r="G263">
        <v>4.4455452816111993</v>
      </c>
      <c r="H263">
        <v>-0.44554528161119933</v>
      </c>
      <c r="I263">
        <v>-0.66521555665059318</v>
      </c>
      <c r="J263"/>
      <c r="K263">
        <v>42.7</v>
      </c>
      <c r="L263">
        <v>5</v>
      </c>
      <c r="M263"/>
      <c r="N263"/>
    </row>
    <row r="264" spans="1:14" s="90" customFormat="1">
      <c r="A264" s="468">
        <v>4</v>
      </c>
      <c r="B264" s="468">
        <v>60</v>
      </c>
      <c r="C264" s="468">
        <v>2</v>
      </c>
      <c r="D264" s="468">
        <v>1</v>
      </c>
      <c r="F264">
        <v>215</v>
      </c>
      <c r="G264">
        <v>5.5420004672235903</v>
      </c>
      <c r="H264">
        <v>-0.5420004672235903</v>
      </c>
      <c r="I264">
        <v>-0.80922671025758974</v>
      </c>
      <c r="J264"/>
      <c r="K264">
        <v>42.900000000000006</v>
      </c>
      <c r="L264">
        <v>5</v>
      </c>
      <c r="M264"/>
      <c r="N264"/>
    </row>
    <row r="265" spans="1:14" s="90" customFormat="1">
      <c r="A265" s="468">
        <v>4</v>
      </c>
      <c r="B265" s="468">
        <v>44</v>
      </c>
      <c r="C265" s="468">
        <v>2</v>
      </c>
      <c r="D265" s="468">
        <v>1</v>
      </c>
      <c r="F265">
        <v>216</v>
      </c>
      <c r="G265">
        <v>6.6384556528359813</v>
      </c>
      <c r="H265">
        <v>0.36154434716401873</v>
      </c>
      <c r="I265">
        <v>0.53979905989098154</v>
      </c>
      <c r="J265"/>
      <c r="K265">
        <v>43.1</v>
      </c>
      <c r="L265">
        <v>5</v>
      </c>
      <c r="M265"/>
      <c r="N265"/>
    </row>
    <row r="266" spans="1:14" s="90" customFormat="1">
      <c r="A266" s="468">
        <v>7</v>
      </c>
      <c r="B266" s="468">
        <v>25</v>
      </c>
      <c r="C266" s="468">
        <v>4</v>
      </c>
      <c r="D266" s="468">
        <v>2</v>
      </c>
      <c r="F266">
        <v>217</v>
      </c>
      <c r="G266">
        <v>4.4415618165069155</v>
      </c>
      <c r="H266">
        <v>-0.44156181650691551</v>
      </c>
      <c r="I266">
        <v>-0.6592680961654056</v>
      </c>
      <c r="J266"/>
      <c r="K266">
        <v>43.300000000000004</v>
      </c>
      <c r="L266">
        <v>5</v>
      </c>
      <c r="M266"/>
      <c r="N266"/>
    </row>
    <row r="267" spans="1:14" s="90" customFormat="1">
      <c r="A267" s="468">
        <v>3</v>
      </c>
      <c r="B267" s="468">
        <v>35</v>
      </c>
      <c r="C267" s="468">
        <v>0</v>
      </c>
      <c r="D267" s="468">
        <v>0</v>
      </c>
      <c r="F267">
        <v>218</v>
      </c>
      <c r="G267">
        <v>4.45948740947619</v>
      </c>
      <c r="H267">
        <v>-0.45948740947619005</v>
      </c>
      <c r="I267">
        <v>-0.68603166834874574</v>
      </c>
      <c r="J267"/>
      <c r="K267">
        <v>43.500000000000007</v>
      </c>
      <c r="L267">
        <v>5</v>
      </c>
      <c r="M267"/>
      <c r="N267"/>
    </row>
    <row r="268" spans="1:14" s="90" customFormat="1">
      <c r="A268" s="468">
        <v>7</v>
      </c>
      <c r="B268" s="468">
        <v>26</v>
      </c>
      <c r="C268" s="468">
        <v>4</v>
      </c>
      <c r="D268" s="468">
        <v>1</v>
      </c>
      <c r="F268">
        <v>219</v>
      </c>
      <c r="G268">
        <v>6.370039420943109</v>
      </c>
      <c r="H268">
        <v>0.62996057905689096</v>
      </c>
      <c r="I268">
        <v>0.94055440504237664</v>
      </c>
      <c r="J268"/>
      <c r="K268">
        <v>43.7</v>
      </c>
      <c r="L268">
        <v>5</v>
      </c>
      <c r="M268"/>
      <c r="N268"/>
    </row>
    <row r="269" spans="1:14" s="90" customFormat="1">
      <c r="A269" s="468">
        <v>7</v>
      </c>
      <c r="B269" s="468">
        <v>23</v>
      </c>
      <c r="C269" s="468">
        <v>4</v>
      </c>
      <c r="D269" s="468">
        <v>2</v>
      </c>
      <c r="F269">
        <v>220</v>
      </c>
      <c r="G269">
        <v>5.5499673974321571</v>
      </c>
      <c r="H269">
        <v>-0.54996739743215706</v>
      </c>
      <c r="I269">
        <v>-0.82112163122796356</v>
      </c>
      <c r="J269"/>
      <c r="K269">
        <v>43.900000000000006</v>
      </c>
      <c r="L269">
        <v>5</v>
      </c>
      <c r="M269"/>
      <c r="N269"/>
    </row>
    <row r="270" spans="1:14" s="90" customFormat="1">
      <c r="A270" s="468">
        <v>5</v>
      </c>
      <c r="B270" s="468">
        <v>48</v>
      </c>
      <c r="C270" s="468">
        <v>3</v>
      </c>
      <c r="D270" s="468">
        <v>0</v>
      </c>
      <c r="F270">
        <v>221</v>
      </c>
      <c r="G270">
        <v>2.2695646370796196</v>
      </c>
      <c r="H270">
        <v>0.73043536292038036</v>
      </c>
      <c r="I270">
        <v>1.0905669672569265</v>
      </c>
      <c r="J270"/>
      <c r="K270">
        <v>44.1</v>
      </c>
      <c r="L270">
        <v>5</v>
      </c>
      <c r="M270"/>
      <c r="N270"/>
    </row>
    <row r="271" spans="1:14" s="90" customFormat="1">
      <c r="A271" s="468">
        <v>7</v>
      </c>
      <c r="B271" s="468">
        <v>86</v>
      </c>
      <c r="C271" s="468">
        <v>4</v>
      </c>
      <c r="D271" s="468">
        <v>2</v>
      </c>
      <c r="F271">
        <v>222</v>
      </c>
      <c r="G271">
        <v>3.965975128699522</v>
      </c>
      <c r="H271">
        <v>3.4024871300478043E-2</v>
      </c>
      <c r="I271">
        <v>5.0800389177644845E-2</v>
      </c>
      <c r="J271"/>
      <c r="K271">
        <v>44.300000000000004</v>
      </c>
      <c r="L271">
        <v>5</v>
      </c>
      <c r="M271"/>
      <c r="N271"/>
    </row>
    <row r="272" spans="1:14" s="90" customFormat="1">
      <c r="A272" s="468">
        <v>10</v>
      </c>
      <c r="B272" s="468">
        <v>50</v>
      </c>
      <c r="C272" s="468">
        <v>5</v>
      </c>
      <c r="D272" s="468">
        <v>0</v>
      </c>
      <c r="F272">
        <v>223</v>
      </c>
      <c r="G272">
        <v>4.2010298403440247</v>
      </c>
      <c r="H272">
        <v>-0.20102984034402471</v>
      </c>
      <c r="I272">
        <v>-0.30014497441031562</v>
      </c>
      <c r="J272"/>
      <c r="K272">
        <v>44.500000000000007</v>
      </c>
      <c r="L272">
        <v>5</v>
      </c>
      <c r="M272"/>
      <c r="N272"/>
    </row>
    <row r="273" spans="1:14" s="90" customFormat="1">
      <c r="A273" s="468">
        <v>8</v>
      </c>
      <c r="B273" s="468">
        <v>48</v>
      </c>
      <c r="C273" s="468">
        <v>4</v>
      </c>
      <c r="D273" s="468">
        <v>0</v>
      </c>
      <c r="F273">
        <v>224</v>
      </c>
      <c r="G273">
        <v>6.628994923213309</v>
      </c>
      <c r="H273">
        <v>1.371005076786691</v>
      </c>
      <c r="I273">
        <v>2.046961202298867</v>
      </c>
      <c r="J273"/>
      <c r="K273">
        <v>44.7</v>
      </c>
      <c r="L273">
        <v>5</v>
      </c>
      <c r="M273"/>
      <c r="N273"/>
    </row>
    <row r="274" spans="1:14" s="90" customFormat="1">
      <c r="A274" s="468">
        <v>4</v>
      </c>
      <c r="B274" s="468">
        <v>100</v>
      </c>
      <c r="C274" s="468">
        <v>2</v>
      </c>
      <c r="D274" s="468">
        <v>0</v>
      </c>
      <c r="F274">
        <v>225</v>
      </c>
      <c r="G274">
        <v>6.6085796645538579</v>
      </c>
      <c r="H274">
        <v>-0.60857966455385792</v>
      </c>
      <c r="I274">
        <v>-0.90863191022568746</v>
      </c>
      <c r="J274"/>
      <c r="K274">
        <v>44.900000000000006</v>
      </c>
      <c r="L274">
        <v>5</v>
      </c>
      <c r="M274"/>
      <c r="N274"/>
    </row>
    <row r="275" spans="1:14" s="90" customFormat="1">
      <c r="A275" s="468">
        <v>6</v>
      </c>
      <c r="B275" s="468">
        <v>57</v>
      </c>
      <c r="C275" s="468">
        <v>4</v>
      </c>
      <c r="D275" s="468">
        <v>2</v>
      </c>
      <c r="F275">
        <v>226</v>
      </c>
      <c r="G275">
        <v>6.3839815488080998</v>
      </c>
      <c r="H275">
        <v>-0.38398154880809976</v>
      </c>
      <c r="I275">
        <v>-0.57329863041134366</v>
      </c>
      <c r="J275"/>
      <c r="K275">
        <v>45.1</v>
      </c>
      <c r="L275">
        <v>5</v>
      </c>
      <c r="M275"/>
      <c r="N275"/>
    </row>
    <row r="276" spans="1:14" s="90" customFormat="1">
      <c r="A276" s="468">
        <v>6</v>
      </c>
      <c r="B276" s="468">
        <v>55</v>
      </c>
      <c r="C276" s="468">
        <v>4</v>
      </c>
      <c r="D276" s="468">
        <v>1</v>
      </c>
      <c r="F276">
        <v>227</v>
      </c>
      <c r="G276">
        <v>6.6623564434616807</v>
      </c>
      <c r="H276">
        <v>1.3376435565383193</v>
      </c>
      <c r="I276">
        <v>1.9971512207354292</v>
      </c>
      <c r="J276"/>
      <c r="K276">
        <v>45.300000000000004</v>
      </c>
      <c r="L276">
        <v>5</v>
      </c>
      <c r="M276"/>
      <c r="N276"/>
    </row>
    <row r="277" spans="1:14" s="90" customFormat="1">
      <c r="A277" s="468">
        <v>6</v>
      </c>
      <c r="B277" s="468">
        <v>71</v>
      </c>
      <c r="C277" s="468">
        <v>4</v>
      </c>
      <c r="D277" s="468">
        <v>0</v>
      </c>
      <c r="F277">
        <v>228</v>
      </c>
      <c r="G277">
        <v>4.4564998106479781</v>
      </c>
      <c r="H277">
        <v>-0.45649981064797807</v>
      </c>
      <c r="I277">
        <v>-0.68157107298485642</v>
      </c>
      <c r="J277"/>
      <c r="K277">
        <v>45.500000000000007</v>
      </c>
      <c r="L277">
        <v>5</v>
      </c>
      <c r="M277"/>
      <c r="N277"/>
    </row>
    <row r="278" spans="1:14" s="90" customFormat="1">
      <c r="A278" s="468">
        <v>6</v>
      </c>
      <c r="B278" s="468">
        <v>64</v>
      </c>
      <c r="C278" s="468">
        <v>4</v>
      </c>
      <c r="D278" s="468">
        <v>0</v>
      </c>
      <c r="F278">
        <v>229</v>
      </c>
      <c r="G278">
        <v>6.3780063511516749</v>
      </c>
      <c r="H278">
        <v>-0.37800635115167491</v>
      </c>
      <c r="I278">
        <v>-0.56437743968356369</v>
      </c>
      <c r="J278"/>
      <c r="K278">
        <v>45.7</v>
      </c>
      <c r="L278">
        <v>5</v>
      </c>
      <c r="M278"/>
      <c r="N278"/>
    </row>
    <row r="279" spans="1:14" s="90" customFormat="1">
      <c r="A279" s="468">
        <v>9</v>
      </c>
      <c r="B279" s="468">
        <v>15</v>
      </c>
      <c r="C279" s="468">
        <v>5</v>
      </c>
      <c r="D279" s="468">
        <v>0</v>
      </c>
      <c r="F279">
        <v>230</v>
      </c>
      <c r="G279">
        <v>6.3844794819461352</v>
      </c>
      <c r="H279">
        <v>-0.38447948194613524</v>
      </c>
      <c r="I279">
        <v>-0.57404206297199212</v>
      </c>
      <c r="J279"/>
      <c r="K279">
        <v>45.900000000000006</v>
      </c>
      <c r="L279">
        <v>5</v>
      </c>
      <c r="M279"/>
      <c r="N279"/>
    </row>
    <row r="280" spans="1:14" s="90" customFormat="1">
      <c r="A280" s="468">
        <v>7</v>
      </c>
      <c r="B280" s="468">
        <v>72</v>
      </c>
      <c r="C280" s="468">
        <v>4</v>
      </c>
      <c r="D280" s="468">
        <v>0</v>
      </c>
      <c r="F280">
        <v>231</v>
      </c>
      <c r="G280">
        <v>6.6175424610384947</v>
      </c>
      <c r="H280">
        <v>-0.61754246103849475</v>
      </c>
      <c r="I280">
        <v>-0.92201369631735675</v>
      </c>
      <c r="J280"/>
      <c r="K280">
        <v>46.1</v>
      </c>
      <c r="L280">
        <v>5</v>
      </c>
      <c r="M280"/>
      <c r="N280"/>
    </row>
    <row r="281" spans="1:14" s="90" customFormat="1">
      <c r="A281" s="468">
        <v>8</v>
      </c>
      <c r="B281" s="468">
        <v>24</v>
      </c>
      <c r="C281" s="468">
        <v>4</v>
      </c>
      <c r="D281" s="468">
        <v>0</v>
      </c>
      <c r="F281">
        <v>232</v>
      </c>
      <c r="G281">
        <v>6.4004133423632679</v>
      </c>
      <c r="H281">
        <v>0.59958665763673213</v>
      </c>
      <c r="I281">
        <v>0.89520501884282933</v>
      </c>
      <c r="J281"/>
      <c r="K281">
        <v>46.300000000000004</v>
      </c>
      <c r="L281">
        <v>5</v>
      </c>
      <c r="M281"/>
      <c r="N281"/>
    </row>
    <row r="282" spans="1:14" s="90" customFormat="1">
      <c r="A282" s="468">
        <v>6</v>
      </c>
      <c r="B282" s="468">
        <v>36</v>
      </c>
      <c r="C282" s="468">
        <v>4</v>
      </c>
      <c r="D282" s="468">
        <v>1</v>
      </c>
      <c r="F282">
        <v>233</v>
      </c>
      <c r="G282">
        <v>5.5688888566775017</v>
      </c>
      <c r="H282">
        <v>-0.56888885667750166</v>
      </c>
      <c r="I282">
        <v>-0.84937206853259917</v>
      </c>
      <c r="J282"/>
      <c r="K282">
        <v>46.500000000000007</v>
      </c>
      <c r="L282">
        <v>5</v>
      </c>
      <c r="M282"/>
      <c r="N282"/>
    </row>
    <row r="283" spans="1:14" s="90" customFormat="1">
      <c r="A283" s="468">
        <v>5</v>
      </c>
      <c r="B283" s="468">
        <v>101</v>
      </c>
      <c r="C283" s="468">
        <v>3</v>
      </c>
      <c r="D283" s="468">
        <v>0</v>
      </c>
      <c r="F283">
        <v>234</v>
      </c>
      <c r="G283">
        <v>6.624015591832956</v>
      </c>
      <c r="H283">
        <v>1.375984408167044</v>
      </c>
      <c r="I283">
        <v>2.0543955279053492</v>
      </c>
      <c r="J283"/>
      <c r="K283">
        <v>46.7</v>
      </c>
      <c r="L283">
        <v>5</v>
      </c>
      <c r="M283"/>
      <c r="N283"/>
    </row>
    <row r="284" spans="1:14" s="90" customFormat="1">
      <c r="A284" s="468">
        <v>4</v>
      </c>
      <c r="B284" s="468">
        <v>28</v>
      </c>
      <c r="C284" s="468">
        <v>2</v>
      </c>
      <c r="D284" s="468">
        <v>0</v>
      </c>
      <c r="F284">
        <v>235</v>
      </c>
      <c r="G284">
        <v>6.1280136453661109</v>
      </c>
      <c r="H284">
        <v>0.87198635463388907</v>
      </c>
      <c r="I284">
        <v>1.3019078244794133</v>
      </c>
      <c r="J284"/>
      <c r="K284">
        <v>46.900000000000006</v>
      </c>
      <c r="L284">
        <v>5</v>
      </c>
      <c r="M284"/>
      <c r="N284"/>
    </row>
    <row r="285" spans="1:14" s="90" customFormat="1">
      <c r="A285" s="468">
        <v>6</v>
      </c>
      <c r="B285" s="468">
        <v>35</v>
      </c>
      <c r="C285" s="468">
        <v>4</v>
      </c>
      <c r="D285" s="468">
        <v>0</v>
      </c>
      <c r="F285">
        <v>236</v>
      </c>
      <c r="G285">
        <v>2.2944612939813891</v>
      </c>
      <c r="H285">
        <v>0.70553870601861091</v>
      </c>
      <c r="I285">
        <v>1.0533953392245108</v>
      </c>
      <c r="J285"/>
      <c r="K285">
        <v>47.1</v>
      </c>
      <c r="L285">
        <v>5</v>
      </c>
      <c r="M285"/>
      <c r="N285"/>
    </row>
    <row r="286" spans="1:14" s="90" customFormat="1">
      <c r="A286" s="468">
        <v>6</v>
      </c>
      <c r="B286" s="468">
        <v>80</v>
      </c>
      <c r="C286" s="468">
        <v>4</v>
      </c>
      <c r="D286" s="468">
        <v>1</v>
      </c>
      <c r="F286">
        <v>237</v>
      </c>
      <c r="G286">
        <v>5.5245728073923512</v>
      </c>
      <c r="H286">
        <v>-0.52457280739235124</v>
      </c>
      <c r="I286">
        <v>-0.78320657063489807</v>
      </c>
      <c r="J286"/>
      <c r="K286">
        <v>47.300000000000004</v>
      </c>
      <c r="L286">
        <v>5</v>
      </c>
      <c r="M286"/>
      <c r="N286"/>
    </row>
    <row r="287" spans="1:14" s="90" customFormat="1">
      <c r="A287" s="468">
        <v>8</v>
      </c>
      <c r="B287" s="468">
        <v>56</v>
      </c>
      <c r="C287" s="468">
        <v>4</v>
      </c>
      <c r="D287" s="468">
        <v>0</v>
      </c>
      <c r="F287">
        <v>238</v>
      </c>
      <c r="G287">
        <v>4.4520184124056588</v>
      </c>
      <c r="H287">
        <v>-0.45201841240565876</v>
      </c>
      <c r="I287">
        <v>-0.67488017993902039</v>
      </c>
      <c r="J287"/>
      <c r="K287">
        <v>47.500000000000007</v>
      </c>
      <c r="L287">
        <v>5</v>
      </c>
      <c r="M287"/>
      <c r="N287"/>
    </row>
    <row r="288" spans="1:14" s="90" customFormat="1">
      <c r="A288" s="468">
        <v>5</v>
      </c>
      <c r="B288" s="468">
        <v>55</v>
      </c>
      <c r="C288" s="468">
        <v>3</v>
      </c>
      <c r="D288" s="468">
        <v>1</v>
      </c>
      <c r="F288">
        <v>239</v>
      </c>
      <c r="G288">
        <v>5.5320418044628825</v>
      </c>
      <c r="H288">
        <v>-0.53204180446288252</v>
      </c>
      <c r="I288">
        <v>-0.79435805904462342</v>
      </c>
      <c r="J288"/>
      <c r="K288">
        <v>47.7</v>
      </c>
      <c r="L288">
        <v>5</v>
      </c>
      <c r="M288"/>
      <c r="N288"/>
    </row>
    <row r="289" spans="1:14" s="90" customFormat="1">
      <c r="A289" s="468">
        <v>5</v>
      </c>
      <c r="B289" s="468">
        <v>72</v>
      </c>
      <c r="C289" s="468">
        <v>3</v>
      </c>
      <c r="D289" s="468">
        <v>1</v>
      </c>
      <c r="F289">
        <v>240</v>
      </c>
      <c r="G289">
        <v>6.394438144706843</v>
      </c>
      <c r="H289">
        <v>0.60556185529315698</v>
      </c>
      <c r="I289">
        <v>0.90412620957060941</v>
      </c>
      <c r="J289"/>
      <c r="K289">
        <v>47.900000000000006</v>
      </c>
      <c r="L289">
        <v>5</v>
      </c>
      <c r="M289"/>
      <c r="N289"/>
    </row>
    <row r="290" spans="1:14" s="90" customFormat="1">
      <c r="A290" s="468">
        <v>5</v>
      </c>
      <c r="B290" s="468">
        <v>79</v>
      </c>
      <c r="C290" s="468">
        <v>3</v>
      </c>
      <c r="D290" s="468">
        <v>0</v>
      </c>
      <c r="F290">
        <v>241</v>
      </c>
      <c r="G290">
        <v>2.2790253667022919</v>
      </c>
      <c r="H290">
        <v>0.72097463329770806</v>
      </c>
      <c r="I290">
        <v>1.0764417486046085</v>
      </c>
      <c r="J290"/>
      <c r="K290">
        <v>48.1</v>
      </c>
      <c r="L290">
        <v>5</v>
      </c>
      <c r="M290"/>
      <c r="N290"/>
    </row>
    <row r="291" spans="1:14" s="90" customFormat="1">
      <c r="A291" s="468">
        <v>6</v>
      </c>
      <c r="B291" s="468">
        <v>47</v>
      </c>
      <c r="C291" s="468">
        <v>4</v>
      </c>
      <c r="D291" s="468">
        <v>1</v>
      </c>
      <c r="F291">
        <v>242</v>
      </c>
      <c r="G291">
        <v>6.6145548622102837</v>
      </c>
      <c r="H291">
        <v>1.3854451377897163</v>
      </c>
      <c r="I291">
        <v>2.0685207465576667</v>
      </c>
      <c r="J291"/>
      <c r="K291">
        <v>48.300000000000004</v>
      </c>
      <c r="L291">
        <v>5</v>
      </c>
      <c r="M291"/>
      <c r="N291"/>
    </row>
    <row r="292" spans="1:14" s="90" customFormat="1">
      <c r="A292" s="468">
        <v>3</v>
      </c>
      <c r="B292" s="468">
        <v>35</v>
      </c>
      <c r="C292" s="468">
        <v>0</v>
      </c>
      <c r="D292" s="468">
        <v>0</v>
      </c>
      <c r="F292">
        <v>243</v>
      </c>
      <c r="G292">
        <v>5.5220831417021747</v>
      </c>
      <c r="H292">
        <v>-0.52208314170217474</v>
      </c>
      <c r="I292">
        <v>-0.77948940783165721</v>
      </c>
      <c r="J292"/>
      <c r="K292">
        <v>48.500000000000007</v>
      </c>
      <c r="L292">
        <v>5</v>
      </c>
      <c r="M292"/>
      <c r="N292"/>
    </row>
    <row r="293" spans="1:14" s="90" customFormat="1">
      <c r="A293" s="468">
        <v>6</v>
      </c>
      <c r="B293" s="468">
        <v>101</v>
      </c>
      <c r="C293" s="468">
        <v>4</v>
      </c>
      <c r="D293" s="468">
        <v>1</v>
      </c>
      <c r="F293">
        <v>244</v>
      </c>
      <c r="G293">
        <v>6.6543895132531148</v>
      </c>
      <c r="H293">
        <v>1.3456104867468852</v>
      </c>
      <c r="I293">
        <v>2.0090461417058019</v>
      </c>
      <c r="J293"/>
      <c r="K293">
        <v>48.7</v>
      </c>
      <c r="L293">
        <v>5</v>
      </c>
      <c r="M293"/>
      <c r="N293"/>
    </row>
    <row r="294" spans="1:14" s="90" customFormat="1">
      <c r="A294" s="468">
        <v>4</v>
      </c>
      <c r="B294" s="468">
        <v>70</v>
      </c>
      <c r="C294" s="468">
        <v>2</v>
      </c>
      <c r="D294" s="468">
        <v>0</v>
      </c>
      <c r="F294">
        <v>245</v>
      </c>
      <c r="G294">
        <v>6.1558979010960924</v>
      </c>
      <c r="H294">
        <v>-0.15589790109609236</v>
      </c>
      <c r="I294">
        <v>-0.2327613226724595</v>
      </c>
      <c r="J294"/>
      <c r="K294">
        <v>48.900000000000006</v>
      </c>
      <c r="L294">
        <v>5</v>
      </c>
      <c r="M294"/>
      <c r="N294"/>
    </row>
    <row r="295" spans="1:14" s="90" customFormat="1">
      <c r="A295" s="468">
        <v>4</v>
      </c>
      <c r="B295" s="468">
        <v>63</v>
      </c>
      <c r="C295" s="468">
        <v>2</v>
      </c>
      <c r="D295" s="468">
        <v>0</v>
      </c>
      <c r="F295">
        <v>246</v>
      </c>
      <c r="G295">
        <v>5.5200914091500337</v>
      </c>
      <c r="H295">
        <v>-0.52009140915003371</v>
      </c>
      <c r="I295">
        <v>-0.7765156775890647</v>
      </c>
      <c r="J295"/>
      <c r="K295">
        <v>49.1</v>
      </c>
      <c r="L295">
        <v>5</v>
      </c>
      <c r="M295"/>
      <c r="N295"/>
    </row>
    <row r="296" spans="1:14" s="90" customFormat="1">
      <c r="A296" s="468">
        <v>5</v>
      </c>
      <c r="B296" s="468">
        <v>75</v>
      </c>
      <c r="C296" s="468">
        <v>3</v>
      </c>
      <c r="D296" s="468">
        <v>0</v>
      </c>
      <c r="F296">
        <v>247</v>
      </c>
      <c r="G296">
        <v>2.2770336341501505</v>
      </c>
      <c r="H296">
        <v>0.72296636584984952</v>
      </c>
      <c r="I296">
        <v>1.0794154788472017</v>
      </c>
      <c r="J296"/>
      <c r="K296">
        <v>49.300000000000004</v>
      </c>
      <c r="L296">
        <v>5</v>
      </c>
      <c r="M296"/>
      <c r="N296"/>
    </row>
    <row r="297" spans="1:14" s="90" customFormat="1">
      <c r="A297" s="468">
        <v>5</v>
      </c>
      <c r="B297" s="468">
        <v>8</v>
      </c>
      <c r="C297" s="468">
        <v>3</v>
      </c>
      <c r="D297" s="468">
        <v>0</v>
      </c>
      <c r="F297">
        <v>248</v>
      </c>
      <c r="G297">
        <v>5.534531470153059</v>
      </c>
      <c r="H297">
        <v>-0.53453147015305902</v>
      </c>
      <c r="I297">
        <v>-0.79807522184786439</v>
      </c>
      <c r="J297"/>
      <c r="K297">
        <v>49.500000000000007</v>
      </c>
      <c r="L297">
        <v>5</v>
      </c>
      <c r="M297"/>
      <c r="N297"/>
    </row>
    <row r="298" spans="1:14" s="90" customFormat="1">
      <c r="A298" s="468">
        <v>4</v>
      </c>
      <c r="B298" s="468">
        <v>44</v>
      </c>
      <c r="C298" s="468">
        <v>2</v>
      </c>
      <c r="D298" s="468">
        <v>0</v>
      </c>
      <c r="F298">
        <v>249</v>
      </c>
      <c r="G298">
        <v>6.3809939499798878</v>
      </c>
      <c r="H298">
        <v>-0.38099394997988778</v>
      </c>
      <c r="I298">
        <v>-0.56883803504745434</v>
      </c>
      <c r="J298"/>
      <c r="K298">
        <v>49.7</v>
      </c>
      <c r="L298">
        <v>5</v>
      </c>
      <c r="M298"/>
      <c r="N298"/>
    </row>
    <row r="299" spans="1:14" s="90" customFormat="1">
      <c r="A299" s="468">
        <v>7</v>
      </c>
      <c r="B299" s="468">
        <v>45</v>
      </c>
      <c r="C299" s="468">
        <v>4</v>
      </c>
      <c r="D299" s="468">
        <v>1</v>
      </c>
      <c r="F299">
        <v>250</v>
      </c>
      <c r="G299">
        <v>6.3755166854614975</v>
      </c>
      <c r="H299">
        <v>0.62448331453850248</v>
      </c>
      <c r="I299">
        <v>0.93237664687524635</v>
      </c>
      <c r="J299"/>
      <c r="K299">
        <v>49.900000000000006</v>
      </c>
      <c r="L299">
        <v>5</v>
      </c>
      <c r="M299"/>
      <c r="N299"/>
    </row>
    <row r="300" spans="1:14" s="90" customFormat="1">
      <c r="A300" s="468">
        <v>4</v>
      </c>
      <c r="B300" s="468">
        <v>63</v>
      </c>
      <c r="C300" s="468">
        <v>2</v>
      </c>
      <c r="D300" s="468">
        <v>0</v>
      </c>
      <c r="F300">
        <v>251</v>
      </c>
      <c r="G300">
        <v>6.3680476883909671</v>
      </c>
      <c r="H300">
        <v>0.63195231160903287</v>
      </c>
      <c r="I300">
        <v>0.94352813528497048</v>
      </c>
      <c r="J300"/>
      <c r="K300">
        <v>50.1</v>
      </c>
      <c r="L300">
        <v>5</v>
      </c>
      <c r="M300"/>
      <c r="N300"/>
    </row>
    <row r="301" spans="1:14" s="90" customFormat="1">
      <c r="A301" s="468">
        <v>4</v>
      </c>
      <c r="B301" s="468">
        <v>40</v>
      </c>
      <c r="C301" s="468">
        <v>2</v>
      </c>
      <c r="D301" s="468">
        <v>0</v>
      </c>
      <c r="F301">
        <v>252</v>
      </c>
      <c r="G301">
        <v>6.627999056937238</v>
      </c>
      <c r="H301">
        <v>0.37200094306276199</v>
      </c>
      <c r="I301">
        <v>0.55541114366459632</v>
      </c>
      <c r="J301"/>
      <c r="K301">
        <v>50.300000000000004</v>
      </c>
      <c r="L301">
        <v>5</v>
      </c>
      <c r="M301"/>
      <c r="N301"/>
    </row>
    <row r="302" spans="1:14" s="90" customFormat="1">
      <c r="A302" s="468">
        <v>6</v>
      </c>
      <c r="B302" s="468">
        <v>30</v>
      </c>
      <c r="C302" s="468">
        <v>4</v>
      </c>
      <c r="D302" s="468">
        <v>1</v>
      </c>
      <c r="F302">
        <v>253</v>
      </c>
      <c r="G302">
        <v>5.5459839323278732</v>
      </c>
      <c r="H302">
        <v>-0.54598393232787323</v>
      </c>
      <c r="I302">
        <v>-0.81517417074277598</v>
      </c>
      <c r="J302"/>
      <c r="K302">
        <v>50.500000000000007</v>
      </c>
      <c r="L302">
        <v>5</v>
      </c>
      <c r="M302"/>
      <c r="N302"/>
    </row>
    <row r="303" spans="1:14" s="90" customFormat="1">
      <c r="A303" s="468">
        <v>5</v>
      </c>
      <c r="B303" s="468">
        <v>49</v>
      </c>
      <c r="C303" s="468">
        <v>3</v>
      </c>
      <c r="D303" s="468">
        <v>0</v>
      </c>
      <c r="F303">
        <v>254</v>
      </c>
      <c r="G303">
        <v>6.3834836156700643</v>
      </c>
      <c r="H303">
        <v>-0.38348361567006428</v>
      </c>
      <c r="I303">
        <v>-0.5725551978506952</v>
      </c>
      <c r="J303"/>
      <c r="K303">
        <v>50.7</v>
      </c>
      <c r="L303">
        <v>5</v>
      </c>
      <c r="M303"/>
      <c r="N303"/>
    </row>
    <row r="304" spans="1:14" s="90" customFormat="1">
      <c r="A304" s="468">
        <v>5</v>
      </c>
      <c r="B304" s="468">
        <v>122</v>
      </c>
      <c r="C304" s="468">
        <v>3</v>
      </c>
      <c r="D304" s="468">
        <v>1</v>
      </c>
      <c r="F304">
        <v>255</v>
      </c>
      <c r="G304">
        <v>6.3785042842897104</v>
      </c>
      <c r="H304">
        <v>-0.37850428428971039</v>
      </c>
      <c r="I304">
        <v>-0.56512087224421215</v>
      </c>
      <c r="J304"/>
      <c r="K304">
        <v>50.900000000000006</v>
      </c>
      <c r="L304">
        <v>5</v>
      </c>
      <c r="M304"/>
      <c r="N304"/>
    </row>
    <row r="305" spans="1:14" s="90" customFormat="1">
      <c r="A305" s="468">
        <v>4</v>
      </c>
      <c r="B305" s="468">
        <v>34</v>
      </c>
      <c r="C305" s="468">
        <v>2</v>
      </c>
      <c r="D305" s="468">
        <v>0</v>
      </c>
      <c r="F305">
        <v>256</v>
      </c>
      <c r="G305">
        <v>2.298444759085672</v>
      </c>
      <c r="H305">
        <v>0.70155524091432797</v>
      </c>
      <c r="I305">
        <v>1.0474478787393244</v>
      </c>
      <c r="J305"/>
      <c r="K305">
        <v>51.1</v>
      </c>
      <c r="L305">
        <v>5</v>
      </c>
      <c r="M305"/>
      <c r="N305"/>
    </row>
    <row r="306" spans="1:14" s="90" customFormat="1">
      <c r="A306" s="468">
        <v>4</v>
      </c>
      <c r="B306" s="468">
        <v>35</v>
      </c>
      <c r="C306" s="468">
        <v>2</v>
      </c>
      <c r="D306" s="468">
        <v>0</v>
      </c>
      <c r="F306">
        <v>257</v>
      </c>
      <c r="G306">
        <v>5.5484735980180506</v>
      </c>
      <c r="H306">
        <v>-0.54847359801805062</v>
      </c>
      <c r="I306">
        <v>-0.81889133354601817</v>
      </c>
      <c r="J306"/>
      <c r="K306">
        <v>51.300000000000004</v>
      </c>
      <c r="L306">
        <v>5</v>
      </c>
      <c r="M306"/>
      <c r="N306"/>
    </row>
    <row r="307" spans="1:14" s="90" customFormat="1">
      <c r="A307" s="468">
        <v>4</v>
      </c>
      <c r="B307" s="468">
        <v>79</v>
      </c>
      <c r="C307" s="468">
        <v>2</v>
      </c>
      <c r="D307" s="468">
        <v>0</v>
      </c>
      <c r="F307">
        <v>258</v>
      </c>
      <c r="G307">
        <v>6.6185383273145657</v>
      </c>
      <c r="H307">
        <v>-0.61853832731456571</v>
      </c>
      <c r="I307">
        <v>-0.92350056143865367</v>
      </c>
      <c r="J307"/>
      <c r="K307">
        <v>51.500000000000007</v>
      </c>
      <c r="L307">
        <v>5</v>
      </c>
      <c r="M307"/>
      <c r="N307"/>
    </row>
    <row r="308" spans="1:14" s="90" customFormat="1">
      <c r="A308" s="468">
        <v>5</v>
      </c>
      <c r="B308" s="468">
        <v>16</v>
      </c>
      <c r="C308" s="468">
        <v>3</v>
      </c>
      <c r="D308" s="468">
        <v>0</v>
      </c>
      <c r="F308">
        <v>259</v>
      </c>
      <c r="G308">
        <v>6.6105713971059998</v>
      </c>
      <c r="H308">
        <v>-0.61057139710599984</v>
      </c>
      <c r="I308">
        <v>-0.91160564046828119</v>
      </c>
      <c r="J308"/>
      <c r="K308">
        <v>51.7</v>
      </c>
      <c r="L308">
        <v>5</v>
      </c>
      <c r="M308"/>
      <c r="N308"/>
    </row>
    <row r="309" spans="1:14" s="90" customFormat="1">
      <c r="A309" s="468">
        <v>7</v>
      </c>
      <c r="B309" s="468">
        <v>59</v>
      </c>
      <c r="C309" s="468">
        <v>4</v>
      </c>
      <c r="D309" s="468">
        <v>0</v>
      </c>
      <c r="F309">
        <v>260</v>
      </c>
      <c r="G309">
        <v>6.3834836156700643</v>
      </c>
      <c r="H309">
        <v>-0.38348361567006428</v>
      </c>
      <c r="I309">
        <v>-0.5725551978506952</v>
      </c>
      <c r="J309"/>
      <c r="K309">
        <v>51.900000000000006</v>
      </c>
      <c r="L309">
        <v>5</v>
      </c>
      <c r="M309"/>
      <c r="N309"/>
    </row>
    <row r="310" spans="1:14" s="90" customFormat="1">
      <c r="A310" s="468">
        <v>5</v>
      </c>
      <c r="B310" s="468">
        <v>38</v>
      </c>
      <c r="C310" s="468">
        <v>3</v>
      </c>
      <c r="D310" s="468">
        <v>0</v>
      </c>
      <c r="F310">
        <v>261</v>
      </c>
      <c r="G310">
        <v>4.211486436242768</v>
      </c>
      <c r="H310">
        <v>-0.21148643624276797</v>
      </c>
      <c r="I310">
        <v>-0.31575705818393029</v>
      </c>
      <c r="J310"/>
      <c r="K310">
        <v>52.1</v>
      </c>
      <c r="L310">
        <v>5</v>
      </c>
      <c r="M310"/>
      <c r="N310"/>
    </row>
    <row r="311" spans="1:14" s="90" customFormat="1">
      <c r="A311" s="468">
        <v>3</v>
      </c>
      <c r="B311" s="468">
        <v>51</v>
      </c>
      <c r="C311" s="468">
        <v>0</v>
      </c>
      <c r="D311" s="468">
        <v>0</v>
      </c>
      <c r="F311">
        <v>262</v>
      </c>
      <c r="G311">
        <v>4.2035195060342021</v>
      </c>
      <c r="H311">
        <v>-0.2035195060342021</v>
      </c>
      <c r="I311">
        <v>-0.30386213721355781</v>
      </c>
      <c r="J311"/>
      <c r="K311">
        <v>52.300000000000004</v>
      </c>
      <c r="L311">
        <v>5</v>
      </c>
      <c r="M311"/>
      <c r="N311"/>
    </row>
    <row r="312" spans="1:14" s="90" customFormat="1">
      <c r="A312" s="468">
        <v>6</v>
      </c>
      <c r="B312" s="468">
        <v>34</v>
      </c>
      <c r="C312" s="468">
        <v>4</v>
      </c>
      <c r="D312" s="468">
        <v>1</v>
      </c>
      <c r="F312">
        <v>263</v>
      </c>
      <c r="G312">
        <v>6.1235322471237916</v>
      </c>
      <c r="H312">
        <v>0.87646775287620837</v>
      </c>
      <c r="I312">
        <v>1.3085987175252494</v>
      </c>
      <c r="J312"/>
      <c r="K312">
        <v>52.500000000000007</v>
      </c>
      <c r="L312">
        <v>5</v>
      </c>
      <c r="M312"/>
      <c r="N312"/>
    </row>
    <row r="313" spans="1:14" s="90" customFormat="1">
      <c r="A313" s="468">
        <v>7</v>
      </c>
      <c r="B313" s="468">
        <v>65</v>
      </c>
      <c r="C313" s="468">
        <v>4</v>
      </c>
      <c r="D313" s="468">
        <v>2</v>
      </c>
      <c r="F313">
        <v>264</v>
      </c>
      <c r="G313">
        <v>2.2695646370796196</v>
      </c>
      <c r="H313">
        <v>0.73043536292038036</v>
      </c>
      <c r="I313">
        <v>1.0905669672569265</v>
      </c>
      <c r="J313"/>
      <c r="K313">
        <v>52.7</v>
      </c>
      <c r="L313">
        <v>5</v>
      </c>
      <c r="M313"/>
      <c r="N313"/>
    </row>
    <row r="314" spans="1:14" s="90" customFormat="1">
      <c r="A314" s="468">
        <v>4</v>
      </c>
      <c r="B314" s="468">
        <v>45</v>
      </c>
      <c r="C314" s="468">
        <v>2</v>
      </c>
      <c r="D314" s="468">
        <v>0</v>
      </c>
      <c r="F314">
        <v>265</v>
      </c>
      <c r="G314">
        <v>6.3665538889768607</v>
      </c>
      <c r="H314">
        <v>0.6334461110231393</v>
      </c>
      <c r="I314">
        <v>0.94575843296691575</v>
      </c>
      <c r="J314"/>
      <c r="K314">
        <v>52.900000000000006</v>
      </c>
      <c r="L314">
        <v>5</v>
      </c>
      <c r="M314"/>
      <c r="N314"/>
    </row>
    <row r="315" spans="1:14" s="90" customFormat="1">
      <c r="A315" s="468">
        <v>6</v>
      </c>
      <c r="B315" s="468">
        <v>81</v>
      </c>
      <c r="C315" s="468">
        <v>4</v>
      </c>
      <c r="D315" s="468">
        <v>2</v>
      </c>
      <c r="F315">
        <v>266</v>
      </c>
      <c r="G315">
        <v>6.1225363808477207</v>
      </c>
      <c r="H315">
        <v>0.87746361915227933</v>
      </c>
      <c r="I315">
        <v>1.3100855826465463</v>
      </c>
      <c r="J315"/>
      <c r="K315">
        <v>53.1</v>
      </c>
      <c r="L315">
        <v>5</v>
      </c>
      <c r="M315"/>
      <c r="N315"/>
    </row>
    <row r="316" spans="1:14" s="90" customFormat="1">
      <c r="A316" s="468">
        <v>4</v>
      </c>
      <c r="B316" s="468">
        <v>64</v>
      </c>
      <c r="C316" s="468">
        <v>2</v>
      </c>
      <c r="D316" s="468">
        <v>0</v>
      </c>
      <c r="F316">
        <v>267</v>
      </c>
      <c r="G316">
        <v>5.5340335370150235</v>
      </c>
      <c r="H316">
        <v>-0.53403353701502354</v>
      </c>
      <c r="I316">
        <v>-0.79733178928721593</v>
      </c>
      <c r="J316"/>
      <c r="K316">
        <v>53.300000000000004</v>
      </c>
      <c r="L316">
        <v>5</v>
      </c>
      <c r="M316"/>
      <c r="N316"/>
    </row>
    <row r="317" spans="1:14" s="90" customFormat="1">
      <c r="A317" s="468">
        <v>7</v>
      </c>
      <c r="B317" s="468">
        <v>55</v>
      </c>
      <c r="C317" s="468">
        <v>4</v>
      </c>
      <c r="D317" s="468">
        <v>0</v>
      </c>
      <c r="F317">
        <v>268</v>
      </c>
      <c r="G317">
        <v>6.1539061685439505</v>
      </c>
      <c r="H317">
        <v>0.84609383145604955</v>
      </c>
      <c r="I317">
        <v>1.2632493313257021</v>
      </c>
      <c r="J317"/>
      <c r="K317">
        <v>53.500000000000007</v>
      </c>
      <c r="L317">
        <v>5</v>
      </c>
      <c r="M317"/>
      <c r="N317"/>
    </row>
    <row r="318" spans="1:14" s="90" customFormat="1">
      <c r="A318" s="468">
        <v>5</v>
      </c>
      <c r="B318" s="468">
        <v>41</v>
      </c>
      <c r="C318" s="468">
        <v>3</v>
      </c>
      <c r="D318" s="468">
        <v>1</v>
      </c>
      <c r="F318">
        <v>269</v>
      </c>
      <c r="G318">
        <v>7.7070265827183917</v>
      </c>
      <c r="H318">
        <v>2.2929734172816083</v>
      </c>
      <c r="I318">
        <v>3.4234939771914243</v>
      </c>
      <c r="J318"/>
      <c r="K318">
        <v>53.7</v>
      </c>
      <c r="L318">
        <v>5</v>
      </c>
      <c r="M318"/>
      <c r="N318"/>
    </row>
    <row r="319" spans="1:14" s="90" customFormat="1">
      <c r="A319" s="468">
        <v>5</v>
      </c>
      <c r="B319" s="468">
        <v>66</v>
      </c>
      <c r="C319" s="468">
        <v>3</v>
      </c>
      <c r="D319" s="468">
        <v>1</v>
      </c>
      <c r="F319">
        <v>270</v>
      </c>
      <c r="G319">
        <v>6.6200321267286721</v>
      </c>
      <c r="H319">
        <v>1.3799678732713279</v>
      </c>
      <c r="I319">
        <v>2.0603429883905364</v>
      </c>
      <c r="J319"/>
      <c r="K319">
        <v>53.900000000000006</v>
      </c>
      <c r="L319">
        <v>5</v>
      </c>
      <c r="M319"/>
      <c r="N319"/>
    </row>
    <row r="320" spans="1:14" s="90" customFormat="1">
      <c r="A320" s="468">
        <v>5</v>
      </c>
      <c r="B320" s="468">
        <v>67</v>
      </c>
      <c r="C320" s="468">
        <v>3</v>
      </c>
      <c r="D320" s="468">
        <v>1</v>
      </c>
      <c r="F320">
        <v>271</v>
      </c>
      <c r="G320">
        <v>4.4739274704792162</v>
      </c>
      <c r="H320">
        <v>-0.47392747047921624</v>
      </c>
      <c r="I320">
        <v>-0.70759121260754665</v>
      </c>
      <c r="J320"/>
      <c r="K320">
        <v>54.1</v>
      </c>
      <c r="L320">
        <v>5</v>
      </c>
      <c r="M320"/>
      <c r="N320"/>
    </row>
    <row r="321" spans="1:14" s="90" customFormat="1">
      <c r="A321" s="468">
        <v>6</v>
      </c>
      <c r="B321" s="468">
        <v>79</v>
      </c>
      <c r="C321" s="468">
        <v>4</v>
      </c>
      <c r="D321" s="468">
        <v>1</v>
      </c>
      <c r="F321">
        <v>272</v>
      </c>
      <c r="G321">
        <v>6.1394661075409251</v>
      </c>
      <c r="H321">
        <v>-0.13946610754092514</v>
      </c>
      <c r="I321">
        <v>-0.20822804817106608</v>
      </c>
      <c r="J321"/>
      <c r="K321">
        <v>54.300000000000004</v>
      </c>
      <c r="L321">
        <v>5</v>
      </c>
      <c r="M321"/>
      <c r="N321"/>
    </row>
    <row r="322" spans="1:14" s="90" customFormat="1">
      <c r="A322" s="468">
        <v>4</v>
      </c>
      <c r="B322" s="468">
        <v>37</v>
      </c>
      <c r="C322" s="468">
        <v>2</v>
      </c>
      <c r="D322" s="468">
        <v>2</v>
      </c>
      <c r="F322">
        <v>273</v>
      </c>
      <c r="G322">
        <v>6.3809939499798878</v>
      </c>
      <c r="H322">
        <v>-0.38099394997988778</v>
      </c>
      <c r="I322">
        <v>-0.56883803504745434</v>
      </c>
      <c r="J322"/>
      <c r="K322">
        <v>54.500000000000007</v>
      </c>
      <c r="L322">
        <v>6</v>
      </c>
      <c r="M322"/>
      <c r="N322"/>
    </row>
    <row r="323" spans="1:14" s="90" customFormat="1">
      <c r="A323" s="468">
        <v>5</v>
      </c>
      <c r="B323" s="468">
        <v>83</v>
      </c>
      <c r="C323" s="468">
        <v>3</v>
      </c>
      <c r="D323" s="468">
        <v>0</v>
      </c>
      <c r="F323">
        <v>274</v>
      </c>
      <c r="G323">
        <v>6.6314845889034864</v>
      </c>
      <c r="H323">
        <v>-0.63148458890348635</v>
      </c>
      <c r="I323">
        <v>-0.94282980801551064</v>
      </c>
      <c r="J323"/>
      <c r="K323">
        <v>54.7</v>
      </c>
      <c r="L323">
        <v>6</v>
      </c>
      <c r="M323"/>
      <c r="N323"/>
    </row>
    <row r="324" spans="1:14" s="90" customFormat="1">
      <c r="A324" s="468">
        <v>4</v>
      </c>
      <c r="B324" s="468">
        <v>39</v>
      </c>
      <c r="C324" s="468">
        <v>2</v>
      </c>
      <c r="D324" s="468">
        <v>0</v>
      </c>
      <c r="F324">
        <v>275</v>
      </c>
      <c r="G324">
        <v>6.627999056937238</v>
      </c>
      <c r="H324">
        <v>-0.62799905693723801</v>
      </c>
      <c r="I324">
        <v>-0.93762578009097153</v>
      </c>
      <c r="J324"/>
      <c r="K324">
        <v>54.900000000000006</v>
      </c>
      <c r="L324">
        <v>6</v>
      </c>
      <c r="M324"/>
      <c r="N324"/>
    </row>
    <row r="325" spans="1:14" s="90" customFormat="1">
      <c r="A325" s="468">
        <v>5</v>
      </c>
      <c r="B325" s="468">
        <v>55</v>
      </c>
      <c r="C325" s="468">
        <v>3</v>
      </c>
      <c r="D325" s="468">
        <v>0</v>
      </c>
      <c r="F325">
        <v>276</v>
      </c>
      <c r="G325">
        <v>7.6895989228871535</v>
      </c>
      <c r="H325">
        <v>1.3104010771128465</v>
      </c>
      <c r="I325">
        <v>1.9564771930585469</v>
      </c>
      <c r="J325"/>
      <c r="K325">
        <v>55.1</v>
      </c>
      <c r="L325">
        <v>6</v>
      </c>
      <c r="M325"/>
      <c r="N325"/>
    </row>
    <row r="326" spans="1:14" s="90" customFormat="1">
      <c r="A326" s="468">
        <v>6</v>
      </c>
      <c r="B326" s="468">
        <v>32</v>
      </c>
      <c r="C326" s="468">
        <v>4</v>
      </c>
      <c r="D326" s="468">
        <v>1</v>
      </c>
      <c r="F326">
        <v>277</v>
      </c>
      <c r="G326">
        <v>6.6319825220415218</v>
      </c>
      <c r="H326">
        <v>0.36801747795847817</v>
      </c>
      <c r="I326">
        <v>0.54946368317940875</v>
      </c>
      <c r="J326"/>
      <c r="K326">
        <v>55.300000000000004</v>
      </c>
      <c r="L326">
        <v>6</v>
      </c>
      <c r="M326"/>
      <c r="N326"/>
    </row>
    <row r="327" spans="1:14" s="90" customFormat="1">
      <c r="A327" s="468">
        <v>3</v>
      </c>
      <c r="B327" s="468">
        <v>43</v>
      </c>
      <c r="C327" s="468">
        <v>0</v>
      </c>
      <c r="D327" s="468">
        <v>0</v>
      </c>
      <c r="F327">
        <v>278</v>
      </c>
      <c r="G327">
        <v>6.6080817314158224</v>
      </c>
      <c r="H327">
        <v>1.3919182685841776</v>
      </c>
      <c r="I327">
        <v>2.0781853698460968</v>
      </c>
      <c r="J327"/>
      <c r="K327">
        <v>55.500000000000007</v>
      </c>
      <c r="L327">
        <v>6</v>
      </c>
      <c r="M327"/>
      <c r="N327"/>
    </row>
    <row r="328" spans="1:14" s="90" customFormat="1">
      <c r="A328" s="468">
        <v>5</v>
      </c>
      <c r="B328" s="468">
        <v>39</v>
      </c>
      <c r="C328" s="468">
        <v>3</v>
      </c>
      <c r="D328" s="468">
        <v>1</v>
      </c>
      <c r="F328">
        <v>279</v>
      </c>
      <c r="G328">
        <v>6.3715332203572155</v>
      </c>
      <c r="H328">
        <v>-0.37153322035721548</v>
      </c>
      <c r="I328">
        <v>-0.55471281639513648</v>
      </c>
      <c r="J328"/>
      <c r="K328">
        <v>55.7</v>
      </c>
      <c r="L328">
        <v>6</v>
      </c>
      <c r="M328"/>
      <c r="N328"/>
    </row>
    <row r="329" spans="1:14" s="90" customFormat="1">
      <c r="A329" s="468">
        <v>5</v>
      </c>
      <c r="B329" s="468">
        <v>55</v>
      </c>
      <c r="C329" s="468">
        <v>3</v>
      </c>
      <c r="D329" s="468">
        <v>1</v>
      </c>
      <c r="F329">
        <v>280</v>
      </c>
      <c r="G329">
        <v>5.5604239933309003</v>
      </c>
      <c r="H329">
        <v>-0.56042399333090032</v>
      </c>
      <c r="I329">
        <v>-0.83673371500157823</v>
      </c>
      <c r="J329"/>
      <c r="K329">
        <v>55.900000000000006</v>
      </c>
      <c r="L329">
        <v>6</v>
      </c>
      <c r="M329"/>
      <c r="N329"/>
    </row>
    <row r="330" spans="1:14" s="90" customFormat="1">
      <c r="A330" s="468">
        <v>4</v>
      </c>
      <c r="B330" s="468">
        <v>61</v>
      </c>
      <c r="C330" s="468">
        <v>2</v>
      </c>
      <c r="D330" s="468">
        <v>0</v>
      </c>
      <c r="F330">
        <v>281</v>
      </c>
      <c r="G330">
        <v>4.438076284540668</v>
      </c>
      <c r="H330">
        <v>-0.43807628454066805</v>
      </c>
      <c r="I330">
        <v>-0.65406406824086782</v>
      </c>
      <c r="J330"/>
      <c r="K330">
        <v>56.1</v>
      </c>
      <c r="L330">
        <v>6</v>
      </c>
      <c r="M330"/>
      <c r="N330"/>
    </row>
    <row r="331" spans="1:14" s="90" customFormat="1">
      <c r="A331" s="468">
        <v>4</v>
      </c>
      <c r="B331" s="468">
        <v>63</v>
      </c>
      <c r="C331" s="468">
        <v>2</v>
      </c>
      <c r="D331" s="468">
        <v>0</v>
      </c>
      <c r="F331">
        <v>282</v>
      </c>
      <c r="G331">
        <v>6.6135589959342127</v>
      </c>
      <c r="H331">
        <v>-0.6135589959342127</v>
      </c>
      <c r="I331">
        <v>-0.91606623583217184</v>
      </c>
      <c r="J331"/>
      <c r="K331">
        <v>56.300000000000004</v>
      </c>
      <c r="L331">
        <v>6</v>
      </c>
      <c r="M331"/>
      <c r="N331"/>
    </row>
    <row r="332" spans="1:14" s="90" customFormat="1">
      <c r="A332" s="468">
        <v>5</v>
      </c>
      <c r="B332" s="468">
        <v>79</v>
      </c>
      <c r="C332" s="468">
        <v>3</v>
      </c>
      <c r="D332" s="468">
        <v>0</v>
      </c>
      <c r="F332">
        <v>283</v>
      </c>
      <c r="G332">
        <v>6.3934422784307721</v>
      </c>
      <c r="H332">
        <v>-0.39344227843077206</v>
      </c>
      <c r="I332">
        <v>-0.58742384906366152</v>
      </c>
      <c r="J332"/>
      <c r="K332">
        <v>56.500000000000007</v>
      </c>
      <c r="L332">
        <v>6</v>
      </c>
      <c r="M332"/>
      <c r="N332"/>
    </row>
    <row r="333" spans="1:14" s="90" customFormat="1">
      <c r="A333" s="468">
        <v>5</v>
      </c>
      <c r="B333" s="468">
        <v>56</v>
      </c>
      <c r="C333" s="468">
        <v>3</v>
      </c>
      <c r="D333" s="468">
        <v>0</v>
      </c>
      <c r="F333">
        <v>284</v>
      </c>
      <c r="G333">
        <v>6.624015591832956</v>
      </c>
      <c r="H333">
        <v>1.375984408167044</v>
      </c>
      <c r="I333">
        <v>2.0543955279053492</v>
      </c>
      <c r="J333"/>
      <c r="K333">
        <v>56.7</v>
      </c>
      <c r="L333">
        <v>6</v>
      </c>
      <c r="M333"/>
      <c r="N333"/>
    </row>
    <row r="334" spans="1:14" s="90" customFormat="1">
      <c r="A334" s="468">
        <v>6</v>
      </c>
      <c r="B334" s="468">
        <v>30</v>
      </c>
      <c r="C334" s="468">
        <v>4</v>
      </c>
      <c r="D334" s="468">
        <v>0</v>
      </c>
      <c r="F334">
        <v>285</v>
      </c>
      <c r="G334">
        <v>5.2949953602662392</v>
      </c>
      <c r="H334">
        <v>-0.29499536026623918</v>
      </c>
      <c r="I334">
        <v>-0.44043896521407122</v>
      </c>
      <c r="J334"/>
      <c r="K334">
        <v>56.900000000000006</v>
      </c>
      <c r="L334">
        <v>6</v>
      </c>
      <c r="M334"/>
      <c r="N334"/>
    </row>
    <row r="335" spans="1:14" s="90" customFormat="1">
      <c r="A335" s="468">
        <v>4</v>
      </c>
      <c r="B335" s="468">
        <v>60</v>
      </c>
      <c r="C335" s="468">
        <v>2</v>
      </c>
      <c r="D335" s="468">
        <v>0</v>
      </c>
      <c r="F335">
        <v>286</v>
      </c>
      <c r="G335">
        <v>5.3034602236128405</v>
      </c>
      <c r="H335">
        <v>-0.30346022361284053</v>
      </c>
      <c r="I335">
        <v>-0.45307731874509216</v>
      </c>
      <c r="J335"/>
      <c r="K335">
        <v>57.1</v>
      </c>
      <c r="L335">
        <v>6</v>
      </c>
      <c r="M335"/>
      <c r="N335"/>
    </row>
    <row r="336" spans="1:14" s="90" customFormat="1">
      <c r="A336" s="468">
        <v>4</v>
      </c>
      <c r="B336" s="468">
        <v>30</v>
      </c>
      <c r="C336" s="468">
        <v>2</v>
      </c>
      <c r="D336" s="468">
        <v>0</v>
      </c>
      <c r="F336">
        <v>287</v>
      </c>
      <c r="G336">
        <v>5.5494694642941216</v>
      </c>
      <c r="H336">
        <v>-0.54946946429412158</v>
      </c>
      <c r="I336">
        <v>-0.82037819866731509</v>
      </c>
      <c r="J336"/>
      <c r="K336">
        <v>57.300000000000004</v>
      </c>
      <c r="L336">
        <v>6</v>
      </c>
      <c r="M336"/>
      <c r="N336"/>
    </row>
    <row r="337" spans="1:14" s="90" customFormat="1">
      <c r="A337" s="468">
        <v>4</v>
      </c>
      <c r="B337" s="468">
        <v>24</v>
      </c>
      <c r="C337" s="468">
        <v>2</v>
      </c>
      <c r="D337" s="468">
        <v>0</v>
      </c>
      <c r="F337">
        <v>288</v>
      </c>
      <c r="G337">
        <v>6.377010484875604</v>
      </c>
      <c r="H337">
        <v>-0.37701048487560396</v>
      </c>
      <c r="I337">
        <v>-0.56289057456226677</v>
      </c>
      <c r="J337"/>
      <c r="K337">
        <v>57.500000000000007</v>
      </c>
      <c r="L337">
        <v>6</v>
      </c>
      <c r="M337"/>
      <c r="N337"/>
    </row>
    <row r="338" spans="1:14" s="90" customFormat="1">
      <c r="A338" s="468">
        <v>8</v>
      </c>
      <c r="B338" s="468">
        <v>17</v>
      </c>
      <c r="C338" s="468">
        <v>4</v>
      </c>
      <c r="D338" s="468">
        <v>0</v>
      </c>
      <c r="F338">
        <v>289</v>
      </c>
      <c r="G338">
        <v>2.2695646370796196</v>
      </c>
      <c r="H338">
        <v>0.73043536292038036</v>
      </c>
      <c r="I338">
        <v>1.0905669672569265</v>
      </c>
      <c r="J338"/>
      <c r="K338">
        <v>57.7</v>
      </c>
      <c r="L338">
        <v>6</v>
      </c>
      <c r="M338"/>
      <c r="N338"/>
    </row>
    <row r="339" spans="1:14" s="90" customFormat="1">
      <c r="A339" s="468">
        <v>6</v>
      </c>
      <c r="B339" s="468">
        <v>81</v>
      </c>
      <c r="C339" s="468">
        <v>4</v>
      </c>
      <c r="D339" s="468">
        <v>1</v>
      </c>
      <c r="F339">
        <v>290</v>
      </c>
      <c r="G339">
        <v>6.4038988743295153</v>
      </c>
      <c r="H339">
        <v>-0.40389887432951532</v>
      </c>
      <c r="I339">
        <v>-0.60303593283727619</v>
      </c>
      <c r="J339"/>
      <c r="K339">
        <v>57.900000000000006</v>
      </c>
      <c r="L339">
        <v>6</v>
      </c>
      <c r="M339"/>
      <c r="N339"/>
    </row>
    <row r="340" spans="1:14" s="90" customFormat="1">
      <c r="A340" s="468">
        <v>7</v>
      </c>
      <c r="B340" s="468">
        <v>33</v>
      </c>
      <c r="C340" s="468">
        <v>4</v>
      </c>
      <c r="D340" s="468">
        <v>0</v>
      </c>
      <c r="F340">
        <v>291</v>
      </c>
      <c r="G340">
        <v>4.4589894763381546</v>
      </c>
      <c r="H340">
        <v>-0.45898947633815457</v>
      </c>
      <c r="I340">
        <v>-0.68528823578809728</v>
      </c>
      <c r="J340"/>
      <c r="K340">
        <v>58.1</v>
      </c>
      <c r="L340">
        <v>6</v>
      </c>
      <c r="M340"/>
      <c r="N340"/>
    </row>
    <row r="341" spans="1:14" s="90" customFormat="1">
      <c r="A341" s="468">
        <v>6</v>
      </c>
      <c r="B341" s="468">
        <v>54</v>
      </c>
      <c r="C341" s="468">
        <v>4</v>
      </c>
      <c r="D341" s="468">
        <v>2</v>
      </c>
      <c r="F341">
        <v>292</v>
      </c>
      <c r="G341">
        <v>4.4555039443719071</v>
      </c>
      <c r="H341">
        <v>-0.45550394437190711</v>
      </c>
      <c r="I341">
        <v>-0.6800842078635595</v>
      </c>
      <c r="J341"/>
      <c r="K341">
        <v>58.300000000000004</v>
      </c>
      <c r="L341">
        <v>6</v>
      </c>
      <c r="M341"/>
      <c r="N341"/>
    </row>
    <row r="342" spans="1:14" s="90" customFormat="1">
      <c r="A342" s="468">
        <v>5</v>
      </c>
      <c r="B342" s="468">
        <v>55</v>
      </c>
      <c r="C342" s="468">
        <v>3</v>
      </c>
      <c r="D342" s="468">
        <v>0</v>
      </c>
      <c r="F342">
        <v>293</v>
      </c>
      <c r="G342">
        <v>5.5474777317419797</v>
      </c>
      <c r="H342">
        <v>-0.54747773174197967</v>
      </c>
      <c r="I342">
        <v>-0.81740446842472125</v>
      </c>
      <c r="J342"/>
      <c r="K342">
        <v>58.500000000000007</v>
      </c>
      <c r="L342">
        <v>6</v>
      </c>
      <c r="M342"/>
      <c r="N342"/>
    </row>
    <row r="343" spans="1:14" s="90" customFormat="1">
      <c r="A343" s="468">
        <v>8</v>
      </c>
      <c r="B343" s="468">
        <v>45</v>
      </c>
      <c r="C343" s="468">
        <v>4</v>
      </c>
      <c r="D343" s="468">
        <v>0</v>
      </c>
      <c r="F343">
        <v>294</v>
      </c>
      <c r="G343">
        <v>5.514116211493608</v>
      </c>
      <c r="H343">
        <v>-0.51411621149360798</v>
      </c>
      <c r="I343">
        <v>-0.7675944868612834</v>
      </c>
      <c r="J343"/>
      <c r="K343">
        <v>58.7</v>
      </c>
      <c r="L343">
        <v>6</v>
      </c>
      <c r="M343"/>
      <c r="N343"/>
    </row>
    <row r="344" spans="1:14" s="90" customFormat="1">
      <c r="A344" s="468">
        <v>5</v>
      </c>
      <c r="B344" s="468">
        <v>65</v>
      </c>
      <c r="C344" s="468">
        <v>3</v>
      </c>
      <c r="D344" s="468">
        <v>0</v>
      </c>
      <c r="F344">
        <v>295</v>
      </c>
      <c r="G344">
        <v>4.4460432147492348</v>
      </c>
      <c r="H344">
        <v>-0.44604321474923481</v>
      </c>
      <c r="I344">
        <v>-0.66595898921124164</v>
      </c>
      <c r="J344"/>
      <c r="K344">
        <v>58.900000000000006</v>
      </c>
      <c r="L344">
        <v>6</v>
      </c>
      <c r="M344"/>
      <c r="N344"/>
    </row>
    <row r="345" spans="1:14" s="90" customFormat="1">
      <c r="A345" s="468">
        <v>3</v>
      </c>
      <c r="B345" s="468">
        <v>49</v>
      </c>
      <c r="C345" s="468">
        <v>0</v>
      </c>
      <c r="D345" s="468">
        <v>0</v>
      </c>
      <c r="F345">
        <v>296</v>
      </c>
      <c r="G345">
        <v>6.376014618599533</v>
      </c>
      <c r="H345">
        <v>0.623985381400467</v>
      </c>
      <c r="I345">
        <v>0.931633214314598</v>
      </c>
      <c r="J345"/>
      <c r="K345">
        <v>59.1</v>
      </c>
      <c r="L345">
        <v>6</v>
      </c>
      <c r="M345"/>
      <c r="N345"/>
    </row>
    <row r="346" spans="1:14" s="90" customFormat="1">
      <c r="A346" s="468">
        <v>7</v>
      </c>
      <c r="B346" s="468">
        <v>37</v>
      </c>
      <c r="C346" s="468">
        <v>4</v>
      </c>
      <c r="D346" s="468">
        <v>1</v>
      </c>
      <c r="F346">
        <v>297</v>
      </c>
      <c r="G346">
        <v>4.4555039443719071</v>
      </c>
      <c r="H346">
        <v>-0.45550394437190711</v>
      </c>
      <c r="I346">
        <v>-0.6800842078635595</v>
      </c>
      <c r="J346"/>
      <c r="K346">
        <v>59.300000000000004</v>
      </c>
      <c r="L346">
        <v>6</v>
      </c>
      <c r="M346"/>
      <c r="N346"/>
    </row>
    <row r="347" spans="1:14" s="90" customFormat="1">
      <c r="A347" s="468">
        <v>6</v>
      </c>
      <c r="B347" s="468">
        <v>26</v>
      </c>
      <c r="C347" s="468">
        <v>4</v>
      </c>
      <c r="D347" s="468">
        <v>0</v>
      </c>
      <c r="F347">
        <v>298</v>
      </c>
      <c r="G347">
        <v>4.4440514821970929</v>
      </c>
      <c r="H347">
        <v>-0.44405148219709289</v>
      </c>
      <c r="I347">
        <v>-0.66298525896864791</v>
      </c>
      <c r="J347"/>
      <c r="K347">
        <v>59.500000000000007</v>
      </c>
      <c r="L347">
        <v>6</v>
      </c>
      <c r="M347"/>
      <c r="N347"/>
    </row>
    <row r="348" spans="1:14" s="90" customFormat="1">
      <c r="A348" s="468">
        <v>6</v>
      </c>
      <c r="B348" s="468">
        <v>33</v>
      </c>
      <c r="C348" s="468">
        <v>4</v>
      </c>
      <c r="D348" s="468">
        <v>1</v>
      </c>
      <c r="F348">
        <v>299</v>
      </c>
      <c r="G348">
        <v>6.3685456215290026</v>
      </c>
      <c r="H348">
        <v>-0.36854562152900261</v>
      </c>
      <c r="I348">
        <v>-0.55025222103124583</v>
      </c>
      <c r="J348"/>
      <c r="K348">
        <v>59.7</v>
      </c>
      <c r="L348">
        <v>6</v>
      </c>
      <c r="M348"/>
      <c r="N348"/>
    </row>
    <row r="349" spans="1:14" s="90" customFormat="1">
      <c r="A349" s="468">
        <v>8</v>
      </c>
      <c r="B349" s="468">
        <v>100</v>
      </c>
      <c r="C349" s="468">
        <v>4</v>
      </c>
      <c r="D349" s="468">
        <v>0</v>
      </c>
      <c r="F349">
        <v>300</v>
      </c>
      <c r="G349">
        <v>5.534531470153059</v>
      </c>
      <c r="H349">
        <v>-0.53453147015305902</v>
      </c>
      <c r="I349">
        <v>-0.79807522184786439</v>
      </c>
      <c r="J349"/>
      <c r="K349">
        <v>59.900000000000006</v>
      </c>
      <c r="L349">
        <v>6</v>
      </c>
      <c r="M349"/>
      <c r="N349"/>
    </row>
    <row r="350" spans="1:14" s="90" customFormat="1">
      <c r="A350" s="468">
        <v>7</v>
      </c>
      <c r="B350" s="468">
        <v>19</v>
      </c>
      <c r="C350" s="468">
        <v>4</v>
      </c>
      <c r="D350" s="468">
        <v>2</v>
      </c>
      <c r="F350">
        <v>301</v>
      </c>
      <c r="G350">
        <v>5.3283568805146109</v>
      </c>
      <c r="H350">
        <v>-0.32835688051461087</v>
      </c>
      <c r="I350">
        <v>-0.49024894677750919</v>
      </c>
      <c r="J350"/>
      <c r="K350">
        <v>60.1</v>
      </c>
      <c r="L350">
        <v>6</v>
      </c>
      <c r="M350"/>
      <c r="N350"/>
    </row>
    <row r="351" spans="1:14" s="90" customFormat="1">
      <c r="A351" s="468">
        <v>6</v>
      </c>
      <c r="B351" s="468">
        <v>27</v>
      </c>
      <c r="C351" s="468">
        <v>4</v>
      </c>
      <c r="D351" s="468">
        <v>0</v>
      </c>
      <c r="F351">
        <v>302</v>
      </c>
      <c r="G351">
        <v>4.44106388336888</v>
      </c>
      <c r="H351">
        <v>-0.44106388336888003</v>
      </c>
      <c r="I351">
        <v>-0.65852466360475714</v>
      </c>
      <c r="J351"/>
      <c r="K351">
        <v>60.300000000000004</v>
      </c>
      <c r="L351">
        <v>6</v>
      </c>
      <c r="M351"/>
      <c r="N351"/>
    </row>
    <row r="352" spans="1:14" s="90" customFormat="1">
      <c r="A352" s="468">
        <v>3</v>
      </c>
      <c r="B352" s="468">
        <v>41</v>
      </c>
      <c r="C352" s="468">
        <v>0</v>
      </c>
      <c r="D352" s="468">
        <v>0</v>
      </c>
      <c r="F352">
        <v>303</v>
      </c>
      <c r="G352">
        <v>4.4415618165069155</v>
      </c>
      <c r="H352">
        <v>-0.44156181650691551</v>
      </c>
      <c r="I352">
        <v>-0.6592680961654056</v>
      </c>
      <c r="J352"/>
      <c r="K352">
        <v>60.500000000000007</v>
      </c>
      <c r="L352">
        <v>6</v>
      </c>
      <c r="M352"/>
      <c r="N352"/>
    </row>
    <row r="353" spans="1:14" s="90" customFormat="1">
      <c r="A353" s="468">
        <v>5</v>
      </c>
      <c r="B353" s="468">
        <v>43</v>
      </c>
      <c r="C353" s="468">
        <v>3</v>
      </c>
      <c r="D353" s="468">
        <v>0</v>
      </c>
      <c r="F353">
        <v>304</v>
      </c>
      <c r="G353">
        <v>4.463470874580473</v>
      </c>
      <c r="H353">
        <v>-0.46347087458047298</v>
      </c>
      <c r="I353">
        <v>-0.69197912883393198</v>
      </c>
      <c r="J353"/>
      <c r="K353">
        <v>60.7</v>
      </c>
      <c r="L353">
        <v>6</v>
      </c>
      <c r="M353"/>
      <c r="N353"/>
    </row>
    <row r="354" spans="1:14" s="90" customFormat="1">
      <c r="A354" s="468">
        <v>5</v>
      </c>
      <c r="B354" s="468">
        <v>81</v>
      </c>
      <c r="C354" s="468">
        <v>3</v>
      </c>
      <c r="D354" s="468">
        <v>1</v>
      </c>
      <c r="F354">
        <v>305</v>
      </c>
      <c r="G354">
        <v>5.5180996765978918</v>
      </c>
      <c r="H354">
        <v>-0.5180996765978918</v>
      </c>
      <c r="I354">
        <v>-0.77354194734647097</v>
      </c>
      <c r="J354"/>
      <c r="K354">
        <v>60.900000000000006</v>
      </c>
      <c r="L354">
        <v>6</v>
      </c>
      <c r="M354"/>
      <c r="N354"/>
    </row>
    <row r="355" spans="1:14" s="90" customFormat="1">
      <c r="A355" s="468">
        <v>4</v>
      </c>
      <c r="B355" s="468">
        <v>50</v>
      </c>
      <c r="C355" s="468">
        <v>0</v>
      </c>
      <c r="D355" s="468">
        <v>0</v>
      </c>
      <c r="F355">
        <v>306</v>
      </c>
      <c r="G355">
        <v>6.6255093912470615</v>
      </c>
      <c r="H355">
        <v>0.37449060875293849</v>
      </c>
      <c r="I355">
        <v>0.55912830646783718</v>
      </c>
      <c r="J355"/>
      <c r="K355">
        <v>61.1</v>
      </c>
      <c r="L355">
        <v>6</v>
      </c>
      <c r="M355"/>
      <c r="N355"/>
    </row>
    <row r="356" spans="1:14" s="90" customFormat="1">
      <c r="A356" s="468">
        <v>4</v>
      </c>
      <c r="B356" s="468">
        <v>70</v>
      </c>
      <c r="C356" s="468">
        <v>0</v>
      </c>
      <c r="D356" s="468">
        <v>0</v>
      </c>
      <c r="F356">
        <v>307</v>
      </c>
      <c r="G356">
        <v>5.5290542056346705</v>
      </c>
      <c r="H356">
        <v>-0.52905420563467054</v>
      </c>
      <c r="I356">
        <v>-0.7898974636807341</v>
      </c>
      <c r="J356"/>
      <c r="K356">
        <v>61.300000000000004</v>
      </c>
      <c r="L356">
        <v>6</v>
      </c>
      <c r="M356"/>
      <c r="N356"/>
    </row>
    <row r="357" spans="1:14" s="90" customFormat="1">
      <c r="A357" s="468">
        <v>3</v>
      </c>
      <c r="B357" s="468">
        <v>41</v>
      </c>
      <c r="C357" s="468">
        <v>0</v>
      </c>
      <c r="D357" s="468">
        <v>0</v>
      </c>
      <c r="F357">
        <v>308</v>
      </c>
      <c r="G357">
        <v>2.277531567288186</v>
      </c>
      <c r="H357">
        <v>0.72246843271181405</v>
      </c>
      <c r="I357">
        <v>1.0786720462865533</v>
      </c>
      <c r="J357"/>
      <c r="K357">
        <v>61.500000000000007</v>
      </c>
      <c r="L357">
        <v>6</v>
      </c>
      <c r="M357"/>
      <c r="N357"/>
    </row>
    <row r="358" spans="1:14" s="90" customFormat="1">
      <c r="A358" s="468">
        <v>5</v>
      </c>
      <c r="B358" s="468">
        <v>34</v>
      </c>
      <c r="C358" s="468">
        <v>3</v>
      </c>
      <c r="D358" s="468">
        <v>0</v>
      </c>
      <c r="F358">
        <v>309</v>
      </c>
      <c r="G358">
        <v>6.3705373540811445</v>
      </c>
      <c r="H358">
        <v>-0.37053735408114452</v>
      </c>
      <c r="I358">
        <v>-0.55322595127383956</v>
      </c>
      <c r="J358"/>
      <c r="K358">
        <v>61.7</v>
      </c>
      <c r="L358">
        <v>6</v>
      </c>
      <c r="M358"/>
      <c r="N358"/>
    </row>
    <row r="359" spans="1:14" s="90" customFormat="1">
      <c r="A359" s="468">
        <v>5</v>
      </c>
      <c r="B359" s="468">
        <v>45</v>
      </c>
      <c r="C359" s="468">
        <v>3</v>
      </c>
      <c r="D359" s="468">
        <v>0</v>
      </c>
      <c r="F359">
        <v>310</v>
      </c>
      <c r="G359">
        <v>6.1434495726452072</v>
      </c>
      <c r="H359">
        <v>0.85655042735479281</v>
      </c>
      <c r="I359">
        <v>1.2788614150993167</v>
      </c>
      <c r="J359"/>
      <c r="K359">
        <v>61.900000000000006</v>
      </c>
      <c r="L359">
        <v>6</v>
      </c>
      <c r="M359"/>
      <c r="N359"/>
    </row>
    <row r="360" spans="1:14" s="90" customFormat="1">
      <c r="A360" s="468">
        <v>8</v>
      </c>
      <c r="B360" s="468">
        <v>78</v>
      </c>
      <c r="C360" s="468">
        <v>4</v>
      </c>
      <c r="D360" s="468">
        <v>0</v>
      </c>
      <c r="F360">
        <v>311</v>
      </c>
      <c r="G360">
        <v>4.4465411478872703</v>
      </c>
      <c r="H360">
        <v>-0.44654114788727028</v>
      </c>
      <c r="I360">
        <v>-0.6667024217718901</v>
      </c>
      <c r="J360"/>
      <c r="K360">
        <v>62.1</v>
      </c>
      <c r="L360">
        <v>6</v>
      </c>
      <c r="M360"/>
      <c r="N360"/>
    </row>
    <row r="361" spans="1:14" s="90" customFormat="1">
      <c r="A361" s="468">
        <v>7</v>
      </c>
      <c r="B361" s="468">
        <v>54</v>
      </c>
      <c r="C361" s="468">
        <v>4</v>
      </c>
      <c r="D361" s="468">
        <v>1</v>
      </c>
      <c r="F361">
        <v>312</v>
      </c>
      <c r="G361">
        <v>6.1514165028537739</v>
      </c>
      <c r="H361">
        <v>-0.15141650285377395</v>
      </c>
      <c r="I361">
        <v>-0.22607042962662482</v>
      </c>
      <c r="J361"/>
      <c r="K361">
        <v>62.300000000000004</v>
      </c>
      <c r="L361">
        <v>6</v>
      </c>
      <c r="M361"/>
      <c r="N361"/>
    </row>
    <row r="362" spans="1:14" s="90" customFormat="1">
      <c r="A362" s="468">
        <v>4</v>
      </c>
      <c r="B362" s="468">
        <v>45</v>
      </c>
      <c r="C362" s="468">
        <v>2</v>
      </c>
      <c r="D362" s="468">
        <v>0</v>
      </c>
      <c r="F362">
        <v>313</v>
      </c>
      <c r="G362">
        <v>4.4560018775099426</v>
      </c>
      <c r="H362">
        <v>-0.45600187750994259</v>
      </c>
      <c r="I362">
        <v>-0.68082764042420796</v>
      </c>
      <c r="J362"/>
      <c r="K362">
        <v>62.500000000000007</v>
      </c>
      <c r="L362">
        <v>6</v>
      </c>
      <c r="M362"/>
      <c r="N362"/>
    </row>
    <row r="363" spans="1:14" s="90" customFormat="1">
      <c r="A363" s="468">
        <v>4</v>
      </c>
      <c r="B363" s="468">
        <v>56</v>
      </c>
      <c r="C363" s="468">
        <v>2</v>
      </c>
      <c r="D363" s="468">
        <v>0</v>
      </c>
      <c r="F363">
        <v>314</v>
      </c>
      <c r="G363">
        <v>6.6235176586949205</v>
      </c>
      <c r="H363">
        <v>0.37648234130507952</v>
      </c>
      <c r="I363">
        <v>0.56210203671042969</v>
      </c>
      <c r="J363"/>
      <c r="K363">
        <v>62.7</v>
      </c>
      <c r="L363">
        <v>6</v>
      </c>
      <c r="M363"/>
      <c r="N363"/>
    </row>
    <row r="364" spans="1:14" s="90" customFormat="1">
      <c r="A364" s="468">
        <v>3</v>
      </c>
      <c r="B364" s="468">
        <v>31</v>
      </c>
      <c r="C364" s="468">
        <v>0</v>
      </c>
      <c r="D364" s="468">
        <v>0</v>
      </c>
      <c r="F364">
        <v>315</v>
      </c>
      <c r="G364">
        <v>5.2880242963337443</v>
      </c>
      <c r="H364">
        <v>-0.28802429633374427</v>
      </c>
      <c r="I364">
        <v>-0.43003090936499561</v>
      </c>
      <c r="J364"/>
      <c r="K364">
        <v>62.900000000000006</v>
      </c>
      <c r="L364">
        <v>6</v>
      </c>
      <c r="M364"/>
      <c r="N364"/>
    </row>
    <row r="365" spans="1:14" s="90" customFormat="1">
      <c r="A365" s="468">
        <v>4</v>
      </c>
      <c r="B365" s="468">
        <v>71</v>
      </c>
      <c r="C365" s="468">
        <v>2</v>
      </c>
      <c r="D365" s="468">
        <v>0</v>
      </c>
      <c r="F365">
        <v>316</v>
      </c>
      <c r="G365">
        <v>5.3004726247846286</v>
      </c>
      <c r="H365">
        <v>-0.30047262478462855</v>
      </c>
      <c r="I365">
        <v>-0.44861672338120279</v>
      </c>
      <c r="J365"/>
      <c r="K365">
        <v>63.1</v>
      </c>
      <c r="L365">
        <v>6</v>
      </c>
      <c r="M365"/>
      <c r="N365"/>
    </row>
    <row r="366" spans="1:14" s="90" customFormat="1">
      <c r="A366" s="468">
        <v>6</v>
      </c>
      <c r="B366" s="468">
        <v>55</v>
      </c>
      <c r="C366" s="468">
        <v>4</v>
      </c>
      <c r="D366" s="468">
        <v>1</v>
      </c>
      <c r="F366">
        <v>317</v>
      </c>
      <c r="G366">
        <v>5.300970557922664</v>
      </c>
      <c r="H366">
        <v>-0.30097055792266403</v>
      </c>
      <c r="I366">
        <v>-0.44936015594185125</v>
      </c>
      <c r="J366"/>
      <c r="K366">
        <v>63.300000000000004</v>
      </c>
      <c r="L366">
        <v>6</v>
      </c>
      <c r="M366"/>
      <c r="N366"/>
    </row>
    <row r="367" spans="1:14" s="90" customFormat="1">
      <c r="A367" s="468">
        <v>4</v>
      </c>
      <c r="B367" s="468">
        <v>26</v>
      </c>
      <c r="C367" s="468">
        <v>2</v>
      </c>
      <c r="D367" s="468">
        <v>0</v>
      </c>
      <c r="F367">
        <v>318</v>
      </c>
      <c r="G367">
        <v>6.3929443452927366</v>
      </c>
      <c r="H367">
        <v>-0.39294434529273659</v>
      </c>
      <c r="I367">
        <v>-0.58668041650301306</v>
      </c>
      <c r="J367"/>
      <c r="K367">
        <v>63.500000000000007</v>
      </c>
      <c r="L367">
        <v>6</v>
      </c>
      <c r="M367"/>
      <c r="N367"/>
    </row>
    <row r="368" spans="1:14" s="90" customFormat="1">
      <c r="A368" s="468">
        <v>6</v>
      </c>
      <c r="B368" s="468">
        <v>76</v>
      </c>
      <c r="C368" s="468">
        <v>4</v>
      </c>
      <c r="D368" s="468">
        <v>0</v>
      </c>
      <c r="F368">
        <v>319</v>
      </c>
      <c r="G368">
        <v>3.9575102653529206</v>
      </c>
      <c r="H368">
        <v>4.2489734647079391E-2</v>
      </c>
      <c r="I368">
        <v>6.3438742708665785E-2</v>
      </c>
      <c r="J368"/>
      <c r="K368">
        <v>63.7</v>
      </c>
      <c r="L368">
        <v>6</v>
      </c>
      <c r="M368"/>
      <c r="N368"/>
    </row>
    <row r="369" spans="1:14" s="90" customFormat="1">
      <c r="A369" s="468">
        <v>4</v>
      </c>
      <c r="B369" s="468">
        <v>45</v>
      </c>
      <c r="C369" s="468">
        <v>2</v>
      </c>
      <c r="D369" s="468">
        <v>0</v>
      </c>
      <c r="F369">
        <v>320</v>
      </c>
      <c r="G369">
        <v>5.5514611968462626</v>
      </c>
      <c r="H369">
        <v>-0.5514611968462626</v>
      </c>
      <c r="I369">
        <v>-0.8233519289099076</v>
      </c>
      <c r="J369"/>
      <c r="K369">
        <v>63.900000000000006</v>
      </c>
      <c r="L369">
        <v>6</v>
      </c>
      <c r="M369"/>
      <c r="N369"/>
    </row>
    <row r="370" spans="1:14" s="90" customFormat="1">
      <c r="A370" s="468">
        <v>7</v>
      </c>
      <c r="B370" s="468">
        <v>48</v>
      </c>
      <c r="C370" s="468">
        <v>4</v>
      </c>
      <c r="D370" s="468">
        <v>2</v>
      </c>
      <c r="F370">
        <v>321</v>
      </c>
      <c r="G370">
        <v>4.4435535490590574</v>
      </c>
      <c r="H370">
        <v>-0.44355354905905742</v>
      </c>
      <c r="I370">
        <v>-0.66224182640799945</v>
      </c>
      <c r="J370"/>
      <c r="K370">
        <v>64.099999999999994</v>
      </c>
      <c r="L370">
        <v>6</v>
      </c>
      <c r="M370"/>
      <c r="N370"/>
    </row>
    <row r="371" spans="1:14" s="90" customFormat="1">
      <c r="A371" s="468">
        <v>4</v>
      </c>
      <c r="B371" s="468">
        <v>39</v>
      </c>
      <c r="C371" s="468">
        <v>2</v>
      </c>
      <c r="D371" s="468">
        <v>0</v>
      </c>
      <c r="F371">
        <v>322</v>
      </c>
      <c r="G371">
        <v>5.5375190689812719</v>
      </c>
      <c r="H371">
        <v>-0.53751906898127189</v>
      </c>
      <c r="I371">
        <v>-0.80253581721175504</v>
      </c>
      <c r="J371"/>
      <c r="K371">
        <v>64.3</v>
      </c>
      <c r="L371">
        <v>6</v>
      </c>
      <c r="M371"/>
      <c r="N371"/>
    </row>
    <row r="372" spans="1:14" s="90" customFormat="1">
      <c r="A372" s="468">
        <v>8</v>
      </c>
      <c r="B372" s="468">
        <v>57</v>
      </c>
      <c r="C372" s="468">
        <v>4</v>
      </c>
      <c r="D372" s="468">
        <v>0</v>
      </c>
      <c r="F372">
        <v>323</v>
      </c>
      <c r="G372">
        <v>6.3695414878050736</v>
      </c>
      <c r="H372">
        <v>-0.36954148780507357</v>
      </c>
      <c r="I372">
        <v>-0.55173908615254275</v>
      </c>
      <c r="J372"/>
      <c r="K372">
        <v>64.5</v>
      </c>
      <c r="L372">
        <v>6</v>
      </c>
      <c r="M372"/>
      <c r="N372"/>
    </row>
    <row r="373" spans="1:14" s="90" customFormat="1">
      <c r="A373" s="468">
        <v>6</v>
      </c>
      <c r="B373" s="468">
        <v>53</v>
      </c>
      <c r="C373" s="468">
        <v>4</v>
      </c>
      <c r="D373" s="468">
        <v>1</v>
      </c>
      <c r="F373">
        <v>324</v>
      </c>
      <c r="G373">
        <v>2.2735481021839026</v>
      </c>
      <c r="H373">
        <v>0.72645189781609742</v>
      </c>
      <c r="I373">
        <v>1.0846195067717401</v>
      </c>
      <c r="J373"/>
      <c r="K373">
        <v>64.7</v>
      </c>
      <c r="L373">
        <v>6</v>
      </c>
      <c r="M373"/>
      <c r="N373"/>
    </row>
    <row r="374" spans="1:14" s="90" customFormat="1">
      <c r="A374" s="468">
        <v>7</v>
      </c>
      <c r="B374" s="468">
        <v>55</v>
      </c>
      <c r="C374" s="468">
        <v>4</v>
      </c>
      <c r="D374" s="468">
        <v>2</v>
      </c>
      <c r="F374">
        <v>325</v>
      </c>
      <c r="G374">
        <v>5.2870284300576733</v>
      </c>
      <c r="H374">
        <v>-0.28702843005767331</v>
      </c>
      <c r="I374">
        <v>-0.42854404424369874</v>
      </c>
      <c r="J374"/>
      <c r="K374">
        <v>64.899999999999991</v>
      </c>
      <c r="L374">
        <v>6</v>
      </c>
      <c r="M374"/>
      <c r="N374"/>
    </row>
    <row r="375" spans="1:14" s="90" customFormat="1">
      <c r="A375" s="468">
        <v>7</v>
      </c>
      <c r="B375" s="468">
        <v>39</v>
      </c>
      <c r="C375" s="468">
        <v>4</v>
      </c>
      <c r="D375" s="468">
        <v>2</v>
      </c>
      <c r="F375">
        <v>326</v>
      </c>
      <c r="G375">
        <v>5.2949953602662392</v>
      </c>
      <c r="H375">
        <v>-0.29499536026623918</v>
      </c>
      <c r="I375">
        <v>-0.44043896521407122</v>
      </c>
      <c r="J375"/>
      <c r="K375">
        <v>65.099999999999994</v>
      </c>
      <c r="L375">
        <v>6</v>
      </c>
      <c r="M375"/>
      <c r="N375"/>
    </row>
    <row r="376" spans="1:14" s="90" customFormat="1">
      <c r="A376" s="468">
        <v>6</v>
      </c>
      <c r="B376" s="468">
        <v>48</v>
      </c>
      <c r="C376" s="468">
        <v>4</v>
      </c>
      <c r="D376" s="468">
        <v>0</v>
      </c>
      <c r="F376">
        <v>327</v>
      </c>
      <c r="G376">
        <v>4.4545080780958362</v>
      </c>
      <c r="H376">
        <v>-0.45450807809583615</v>
      </c>
      <c r="I376">
        <v>-0.67859734274226258</v>
      </c>
      <c r="J376"/>
      <c r="K376">
        <v>65.3</v>
      </c>
      <c r="L376">
        <v>6</v>
      </c>
      <c r="M376"/>
      <c r="N376"/>
    </row>
    <row r="377" spans="1:14" s="90" customFormat="1">
      <c r="A377" s="468">
        <v>6</v>
      </c>
      <c r="B377" s="468">
        <v>88</v>
      </c>
      <c r="C377" s="468">
        <v>4</v>
      </c>
      <c r="D377" s="468">
        <v>2</v>
      </c>
      <c r="F377">
        <v>328</v>
      </c>
      <c r="G377">
        <v>4.4555039443719071</v>
      </c>
      <c r="H377">
        <v>-0.45550394437190711</v>
      </c>
      <c r="I377">
        <v>-0.6800842078635595</v>
      </c>
      <c r="J377"/>
      <c r="K377">
        <v>65.5</v>
      </c>
      <c r="L377">
        <v>6</v>
      </c>
      <c r="M377"/>
      <c r="N377"/>
    </row>
    <row r="378" spans="1:14" s="90" customFormat="1">
      <c r="A378" s="468">
        <v>4</v>
      </c>
      <c r="B378" s="468">
        <v>59</v>
      </c>
      <c r="C378" s="468">
        <v>2</v>
      </c>
      <c r="D378" s="468">
        <v>1</v>
      </c>
      <c r="F378">
        <v>329</v>
      </c>
      <c r="G378">
        <v>5.5494694642941216</v>
      </c>
      <c r="H378">
        <v>-0.54946946429412158</v>
      </c>
      <c r="I378">
        <v>-0.82037819866731509</v>
      </c>
      <c r="J378"/>
      <c r="K378">
        <v>65.7</v>
      </c>
      <c r="L378">
        <v>6</v>
      </c>
      <c r="M378"/>
      <c r="N378"/>
    </row>
    <row r="379" spans="1:14" s="90" customFormat="1">
      <c r="A379" s="468">
        <v>5</v>
      </c>
      <c r="B379" s="468">
        <v>37</v>
      </c>
      <c r="C379" s="468">
        <v>3</v>
      </c>
      <c r="D379" s="468">
        <v>2</v>
      </c>
      <c r="F379">
        <v>330</v>
      </c>
      <c r="G379">
        <v>5.5380170021193074</v>
      </c>
      <c r="H379">
        <v>-0.53801700211930736</v>
      </c>
      <c r="I379">
        <v>-0.8032792497724035</v>
      </c>
      <c r="J379"/>
      <c r="K379">
        <v>65.899999999999991</v>
      </c>
      <c r="L379">
        <v>6</v>
      </c>
      <c r="M379"/>
      <c r="N379"/>
    </row>
    <row r="380" spans="1:14" s="90" customFormat="1">
      <c r="A380" s="468">
        <v>3</v>
      </c>
      <c r="B380" s="468">
        <v>51</v>
      </c>
      <c r="C380" s="468">
        <v>0</v>
      </c>
      <c r="D380" s="468">
        <v>0</v>
      </c>
      <c r="F380">
        <v>331</v>
      </c>
      <c r="G380">
        <v>6.6110693302440353</v>
      </c>
      <c r="H380">
        <v>-0.61106933024403531</v>
      </c>
      <c r="I380">
        <v>-0.91234907302892965</v>
      </c>
      <c r="J380"/>
      <c r="K380">
        <v>66.099999999999994</v>
      </c>
      <c r="L380">
        <v>6</v>
      </c>
      <c r="M380"/>
      <c r="N380"/>
    </row>
    <row r="381" spans="1:14" s="90" customFormat="1">
      <c r="A381" s="468">
        <v>6</v>
      </c>
      <c r="B381" s="468">
        <v>27</v>
      </c>
      <c r="C381" s="468">
        <v>4</v>
      </c>
      <c r="D381" s="468">
        <v>1</v>
      </c>
      <c r="F381">
        <v>332</v>
      </c>
      <c r="G381">
        <v>4.4540101449578007</v>
      </c>
      <c r="H381">
        <v>-0.45401014495780068</v>
      </c>
      <c r="I381">
        <v>-0.67785391018161412</v>
      </c>
      <c r="J381"/>
      <c r="K381">
        <v>66.3</v>
      </c>
      <c r="L381">
        <v>6</v>
      </c>
      <c r="M381"/>
      <c r="N381"/>
    </row>
    <row r="382" spans="1:14" s="90" customFormat="1">
      <c r="A382" s="468">
        <v>3</v>
      </c>
      <c r="B382" s="468">
        <v>72</v>
      </c>
      <c r="C382" s="468">
        <v>0</v>
      </c>
      <c r="D382" s="468">
        <v>0</v>
      </c>
      <c r="F382">
        <v>333</v>
      </c>
      <c r="G382">
        <v>4.439072150816739</v>
      </c>
      <c r="H382">
        <v>-0.439072150816739</v>
      </c>
      <c r="I382">
        <v>-0.65555093336216474</v>
      </c>
      <c r="J382"/>
      <c r="K382">
        <v>66.5</v>
      </c>
      <c r="L382">
        <v>6</v>
      </c>
      <c r="M382"/>
      <c r="N382"/>
    </row>
    <row r="383" spans="1:14" s="90" customFormat="1">
      <c r="A383" s="468">
        <v>7</v>
      </c>
      <c r="B383" s="468">
        <v>39</v>
      </c>
      <c r="C383" s="468">
        <v>4</v>
      </c>
      <c r="D383" s="468">
        <v>0</v>
      </c>
      <c r="F383">
        <v>334</v>
      </c>
      <c r="G383">
        <v>4.436084551988527</v>
      </c>
      <c r="H383">
        <v>-0.43608455198852702</v>
      </c>
      <c r="I383">
        <v>-0.65109033799827543</v>
      </c>
      <c r="J383"/>
      <c r="K383">
        <v>66.7</v>
      </c>
      <c r="L383">
        <v>6</v>
      </c>
      <c r="M383"/>
      <c r="N383"/>
    </row>
    <row r="384" spans="1:14" s="90" customFormat="1">
      <c r="A384" s="468">
        <v>7</v>
      </c>
      <c r="B384" s="468">
        <v>66</v>
      </c>
      <c r="C384" s="468">
        <v>4</v>
      </c>
      <c r="D384" s="468">
        <v>1</v>
      </c>
      <c r="F384">
        <v>335</v>
      </c>
      <c r="G384">
        <v>6.6045961994495759</v>
      </c>
      <c r="H384">
        <v>1.3954038005504241</v>
      </c>
      <c r="I384">
        <v>2.0833893977706333</v>
      </c>
      <c r="J384"/>
      <c r="K384">
        <v>66.899999999999991</v>
      </c>
      <c r="L384">
        <v>6</v>
      </c>
      <c r="M384"/>
      <c r="N384"/>
    </row>
    <row r="385" spans="1:14" s="90" customFormat="1">
      <c r="A385" s="468">
        <v>6</v>
      </c>
      <c r="B385" s="468">
        <v>70</v>
      </c>
      <c r="C385" s="468">
        <v>4</v>
      </c>
      <c r="D385" s="468">
        <v>1</v>
      </c>
      <c r="F385">
        <v>336</v>
      </c>
      <c r="G385">
        <v>6.3939402115688075</v>
      </c>
      <c r="H385">
        <v>-0.39394021156880754</v>
      </c>
      <c r="I385">
        <v>-0.58816728162430998</v>
      </c>
      <c r="J385"/>
      <c r="K385">
        <v>67.099999999999994</v>
      </c>
      <c r="L385">
        <v>6</v>
      </c>
      <c r="M385"/>
      <c r="N385"/>
    </row>
    <row r="386" spans="1:14" s="90" customFormat="1">
      <c r="A386" s="468">
        <v>3</v>
      </c>
      <c r="B386" s="468">
        <v>36</v>
      </c>
      <c r="C386" s="468">
        <v>0</v>
      </c>
      <c r="D386" s="468">
        <v>0</v>
      </c>
      <c r="F386">
        <v>337</v>
      </c>
      <c r="G386">
        <v>6.6125631296581417</v>
      </c>
      <c r="H386">
        <v>0.38743687034185825</v>
      </c>
      <c r="I386">
        <v>0.57845755304469282</v>
      </c>
      <c r="J386"/>
      <c r="K386">
        <v>67.3</v>
      </c>
      <c r="L386">
        <v>6</v>
      </c>
      <c r="M386"/>
      <c r="N386"/>
    </row>
    <row r="387" spans="1:14" s="90" customFormat="1">
      <c r="A387" s="468">
        <v>4</v>
      </c>
      <c r="B387" s="468">
        <v>31</v>
      </c>
      <c r="C387" s="468">
        <v>2</v>
      </c>
      <c r="D387" s="468">
        <v>0</v>
      </c>
      <c r="F387">
        <v>338</v>
      </c>
      <c r="G387">
        <v>6.1379723081268187</v>
      </c>
      <c r="H387">
        <v>-0.13797230812681871</v>
      </c>
      <c r="I387">
        <v>-0.20599775048912072</v>
      </c>
      <c r="J387"/>
      <c r="K387">
        <v>67.5</v>
      </c>
      <c r="L387">
        <v>6</v>
      </c>
      <c r="M387"/>
      <c r="N387"/>
    </row>
    <row r="388" spans="1:14" s="90" customFormat="1">
      <c r="A388" s="468">
        <v>7</v>
      </c>
      <c r="B388" s="468">
        <v>39</v>
      </c>
      <c r="C388" s="468">
        <v>4</v>
      </c>
      <c r="D388" s="468">
        <v>0</v>
      </c>
      <c r="F388">
        <v>339</v>
      </c>
      <c r="G388">
        <v>5.5375190689812719</v>
      </c>
      <c r="H388">
        <v>-0.53751906898127189</v>
      </c>
      <c r="I388">
        <v>-0.80253581721175504</v>
      </c>
      <c r="J388"/>
      <c r="K388">
        <v>67.7</v>
      </c>
      <c r="L388">
        <v>6</v>
      </c>
      <c r="M388"/>
      <c r="N388"/>
    </row>
    <row r="389" spans="1:14" s="90" customFormat="1">
      <c r="A389" s="468">
        <v>5</v>
      </c>
      <c r="B389" s="468">
        <v>48</v>
      </c>
      <c r="C389" s="468">
        <v>3</v>
      </c>
      <c r="D389" s="468">
        <v>2</v>
      </c>
      <c r="F389">
        <v>340</v>
      </c>
      <c r="G389">
        <v>6.6185383273145657</v>
      </c>
      <c r="H389">
        <v>1.3814616726854343</v>
      </c>
      <c r="I389">
        <v>2.0625732860724821</v>
      </c>
      <c r="J389"/>
      <c r="K389">
        <v>67.899999999999991</v>
      </c>
      <c r="L389">
        <v>6</v>
      </c>
      <c r="M389"/>
      <c r="N389"/>
    </row>
    <row r="390" spans="1:14" s="90" customFormat="1">
      <c r="A390" s="468">
        <v>6</v>
      </c>
      <c r="B390" s="468">
        <v>55</v>
      </c>
      <c r="C390" s="468">
        <v>4</v>
      </c>
      <c r="D390" s="468">
        <v>0</v>
      </c>
      <c r="F390">
        <v>341</v>
      </c>
      <c r="G390">
        <v>5.5424984003616258</v>
      </c>
      <c r="H390">
        <v>-0.54249840036162578</v>
      </c>
      <c r="I390">
        <v>-0.8099701428182382</v>
      </c>
      <c r="J390"/>
      <c r="K390">
        <v>68.099999999999994</v>
      </c>
      <c r="L390">
        <v>6</v>
      </c>
      <c r="M390"/>
      <c r="N390"/>
    </row>
    <row r="391" spans="1:14" s="90" customFormat="1">
      <c r="A391" s="468">
        <v>6</v>
      </c>
      <c r="B391" s="468">
        <v>57</v>
      </c>
      <c r="C391" s="468">
        <v>4</v>
      </c>
      <c r="D391" s="468">
        <v>1</v>
      </c>
      <c r="F391">
        <v>342</v>
      </c>
      <c r="G391">
        <v>2.276535701012115</v>
      </c>
      <c r="H391">
        <v>0.723464298987885</v>
      </c>
      <c r="I391">
        <v>1.0801589114078503</v>
      </c>
      <c r="J391"/>
      <c r="K391">
        <v>68.3</v>
      </c>
      <c r="L391">
        <v>6</v>
      </c>
      <c r="M391"/>
      <c r="N391"/>
    </row>
    <row r="392" spans="1:14" s="90" customFormat="1">
      <c r="A392" s="468">
        <v>6</v>
      </c>
      <c r="B392" s="468">
        <v>36</v>
      </c>
      <c r="C392" s="468">
        <v>4</v>
      </c>
      <c r="D392" s="468">
        <v>2</v>
      </c>
      <c r="F392">
        <v>343</v>
      </c>
      <c r="G392">
        <v>6.372031153495251</v>
      </c>
      <c r="H392">
        <v>0.62796884650474905</v>
      </c>
      <c r="I392">
        <v>0.93758067479978291</v>
      </c>
      <c r="J392"/>
      <c r="K392">
        <v>68.5</v>
      </c>
      <c r="L392">
        <v>6</v>
      </c>
      <c r="M392"/>
      <c r="N392"/>
    </row>
    <row r="393" spans="1:14" s="90" customFormat="1">
      <c r="A393" s="468">
        <v>5</v>
      </c>
      <c r="B393" s="468">
        <v>72</v>
      </c>
      <c r="C393" s="468">
        <v>3</v>
      </c>
      <c r="D393" s="468">
        <v>1</v>
      </c>
      <c r="F393">
        <v>344</v>
      </c>
      <c r="G393">
        <v>6.6090775976918934</v>
      </c>
      <c r="H393">
        <v>-0.6090775976918934</v>
      </c>
      <c r="I393">
        <v>-0.90937534278633581</v>
      </c>
      <c r="J393"/>
      <c r="K393">
        <v>68.7</v>
      </c>
      <c r="L393">
        <v>6</v>
      </c>
      <c r="M393"/>
      <c r="N393"/>
    </row>
    <row r="394" spans="1:14" s="90" customFormat="1">
      <c r="A394" s="468">
        <v>6</v>
      </c>
      <c r="B394" s="468">
        <v>31</v>
      </c>
      <c r="C394" s="468">
        <v>4</v>
      </c>
      <c r="D394" s="468">
        <v>2</v>
      </c>
      <c r="F394">
        <v>345</v>
      </c>
      <c r="G394">
        <v>6.370039420943109</v>
      </c>
      <c r="H394">
        <v>-0.37003942094310904</v>
      </c>
      <c r="I394">
        <v>-0.55248251871319121</v>
      </c>
      <c r="J394"/>
      <c r="K394">
        <v>68.899999999999991</v>
      </c>
      <c r="L394">
        <v>6</v>
      </c>
      <c r="M394"/>
      <c r="N394"/>
    </row>
    <row r="395" spans="1:14" s="90" customFormat="1">
      <c r="A395" s="468">
        <v>4</v>
      </c>
      <c r="B395" s="468">
        <v>35</v>
      </c>
      <c r="C395" s="468">
        <v>2</v>
      </c>
      <c r="D395" s="468">
        <v>0</v>
      </c>
      <c r="F395">
        <v>346</v>
      </c>
      <c r="G395">
        <v>6.6459246499065125</v>
      </c>
      <c r="H395">
        <v>1.3540753500934875</v>
      </c>
      <c r="I395">
        <v>2.021684495236824</v>
      </c>
      <c r="J395"/>
      <c r="K395">
        <v>69.099999999999994</v>
      </c>
      <c r="L395">
        <v>6</v>
      </c>
      <c r="M395"/>
      <c r="N395"/>
    </row>
    <row r="396" spans="1:14" s="90" customFormat="1">
      <c r="A396" s="468">
        <v>4</v>
      </c>
      <c r="B396" s="468">
        <v>48</v>
      </c>
      <c r="C396" s="468">
        <v>2</v>
      </c>
      <c r="D396" s="468">
        <v>0</v>
      </c>
      <c r="F396">
        <v>347</v>
      </c>
      <c r="G396">
        <v>6.1205446482955796</v>
      </c>
      <c r="H396">
        <v>0.87945535170442035</v>
      </c>
      <c r="I396">
        <v>1.3130593128891388</v>
      </c>
      <c r="J396"/>
      <c r="K396">
        <v>69.3</v>
      </c>
      <c r="L396">
        <v>6</v>
      </c>
      <c r="M396"/>
      <c r="N396"/>
    </row>
    <row r="397" spans="1:14" s="90" customFormat="1">
      <c r="A397" s="468">
        <v>6</v>
      </c>
      <c r="B397" s="468">
        <v>27</v>
      </c>
      <c r="C397" s="468">
        <v>4</v>
      </c>
      <c r="D397" s="468">
        <v>2</v>
      </c>
      <c r="F397">
        <v>348</v>
      </c>
      <c r="G397">
        <v>6.6095755308299289</v>
      </c>
      <c r="H397">
        <v>-0.60957553082992888</v>
      </c>
      <c r="I397">
        <v>-0.91011877534698427</v>
      </c>
      <c r="J397"/>
      <c r="K397">
        <v>69.5</v>
      </c>
      <c r="L397">
        <v>6</v>
      </c>
      <c r="M397"/>
      <c r="N397"/>
    </row>
    <row r="398" spans="1:14" s="90" customFormat="1">
      <c r="A398" s="468">
        <v>8</v>
      </c>
      <c r="B398" s="468">
        <v>31</v>
      </c>
      <c r="C398" s="468">
        <v>4</v>
      </c>
      <c r="D398" s="468">
        <v>0</v>
      </c>
      <c r="F398">
        <v>349</v>
      </c>
      <c r="G398">
        <v>2.2725522359078321</v>
      </c>
      <c r="H398">
        <v>0.72744776409216794</v>
      </c>
      <c r="I398">
        <v>1.0861063718930364</v>
      </c>
      <c r="J398"/>
      <c r="K398">
        <v>69.7</v>
      </c>
      <c r="L398">
        <v>6</v>
      </c>
      <c r="M398"/>
      <c r="N398"/>
    </row>
    <row r="399" spans="1:14" s="90" customFormat="1">
      <c r="A399" s="468">
        <v>5</v>
      </c>
      <c r="B399" s="468">
        <v>53</v>
      </c>
      <c r="C399" s="468">
        <v>3</v>
      </c>
      <c r="D399" s="468">
        <v>1</v>
      </c>
      <c r="F399">
        <v>350</v>
      </c>
      <c r="G399">
        <v>5.531543871324847</v>
      </c>
      <c r="H399">
        <v>-0.53154387132484704</v>
      </c>
      <c r="I399">
        <v>-0.79361462648397496</v>
      </c>
      <c r="J399"/>
      <c r="K399">
        <v>69.899999999999991</v>
      </c>
      <c r="L399">
        <v>6</v>
      </c>
      <c r="M399"/>
      <c r="N399"/>
    </row>
    <row r="400" spans="1:14" s="90" customFormat="1">
      <c r="A400" s="468">
        <v>4</v>
      </c>
      <c r="B400" s="468">
        <v>34</v>
      </c>
      <c r="C400" s="468">
        <v>2</v>
      </c>
      <c r="D400" s="468">
        <v>0</v>
      </c>
      <c r="F400">
        <v>351</v>
      </c>
      <c r="G400">
        <v>5.3079416218551598</v>
      </c>
      <c r="H400">
        <v>-0.30794162185515983</v>
      </c>
      <c r="I400">
        <v>-0.45976821179092814</v>
      </c>
      <c r="J400"/>
      <c r="K400">
        <v>70.099999999999994</v>
      </c>
      <c r="L400">
        <v>6</v>
      </c>
      <c r="M400"/>
      <c r="N400"/>
    </row>
    <row r="401" spans="1:14" s="90" customFormat="1">
      <c r="A401" s="468">
        <v>6</v>
      </c>
      <c r="B401" s="468">
        <v>36</v>
      </c>
      <c r="C401" s="468">
        <v>4</v>
      </c>
      <c r="D401" s="468">
        <v>1</v>
      </c>
      <c r="F401">
        <v>352</v>
      </c>
      <c r="G401">
        <v>2.2770336341501505</v>
      </c>
      <c r="H401">
        <v>1.7229663658498495</v>
      </c>
      <c r="I401">
        <v>2.5724524026027695</v>
      </c>
      <c r="J401"/>
      <c r="K401">
        <v>70.3</v>
      </c>
      <c r="L401">
        <v>6</v>
      </c>
      <c r="M401"/>
      <c r="N401"/>
    </row>
    <row r="402" spans="1:14" s="90" customFormat="1">
      <c r="A402" s="468">
        <v>4</v>
      </c>
      <c r="B402" s="468">
        <v>11</v>
      </c>
      <c r="C402" s="468">
        <v>2</v>
      </c>
      <c r="D402" s="468">
        <v>1</v>
      </c>
      <c r="F402">
        <v>353</v>
      </c>
      <c r="G402">
        <v>2.2869922969108583</v>
      </c>
      <c r="H402">
        <v>1.7130077030891417</v>
      </c>
      <c r="I402">
        <v>2.5575837513898034</v>
      </c>
      <c r="J402"/>
      <c r="K402">
        <v>70.5</v>
      </c>
      <c r="L402">
        <v>6</v>
      </c>
      <c r="M402"/>
      <c r="N402"/>
    </row>
    <row r="403" spans="1:14" s="90" customFormat="1">
      <c r="A403" s="468">
        <v>5</v>
      </c>
      <c r="B403" s="468">
        <v>22</v>
      </c>
      <c r="C403" s="468">
        <v>3</v>
      </c>
      <c r="D403" s="468">
        <v>2</v>
      </c>
      <c r="F403">
        <v>354</v>
      </c>
      <c r="G403">
        <v>2.2725522359078321</v>
      </c>
      <c r="H403">
        <v>0.72744776409216794</v>
      </c>
      <c r="I403">
        <v>1.0861063718930364</v>
      </c>
      <c r="J403"/>
      <c r="K403">
        <v>70.7</v>
      </c>
      <c r="L403">
        <v>6</v>
      </c>
      <c r="M403"/>
      <c r="N403"/>
    </row>
    <row r="404" spans="1:14" s="90" customFormat="1">
      <c r="A404" s="468">
        <v>3</v>
      </c>
      <c r="B404" s="468">
        <v>33</v>
      </c>
      <c r="C404" s="468">
        <v>0</v>
      </c>
      <c r="D404" s="468">
        <v>0</v>
      </c>
      <c r="F404">
        <v>355</v>
      </c>
      <c r="G404">
        <v>5.5270624730825286</v>
      </c>
      <c r="H404">
        <v>-0.52706247308252863</v>
      </c>
      <c r="I404">
        <v>-0.78692373343814026</v>
      </c>
      <c r="J404"/>
      <c r="K404">
        <v>70.899999999999991</v>
      </c>
      <c r="L404">
        <v>6</v>
      </c>
      <c r="M404"/>
      <c r="N404"/>
    </row>
    <row r="405" spans="1:14" s="90" customFormat="1">
      <c r="A405" s="468">
        <v>6</v>
      </c>
      <c r="B405" s="468">
        <v>55</v>
      </c>
      <c r="C405" s="468">
        <v>4</v>
      </c>
      <c r="D405" s="468">
        <v>1</v>
      </c>
      <c r="F405">
        <v>356</v>
      </c>
      <c r="G405">
        <v>5.532539737600918</v>
      </c>
      <c r="H405">
        <v>-0.532539737600918</v>
      </c>
      <c r="I405">
        <v>-0.79510149160527188</v>
      </c>
      <c r="J405"/>
      <c r="K405">
        <v>71.099999999999994</v>
      </c>
      <c r="L405">
        <v>6</v>
      </c>
      <c r="M405"/>
      <c r="N405"/>
    </row>
    <row r="406" spans="1:14" s="90" customFormat="1">
      <c r="A406" s="468">
        <v>5</v>
      </c>
      <c r="B406" s="468">
        <v>47</v>
      </c>
      <c r="C406" s="468">
        <v>3</v>
      </c>
      <c r="D406" s="468">
        <v>0</v>
      </c>
      <c r="F406">
        <v>357</v>
      </c>
      <c r="G406">
        <v>6.6349701208697338</v>
      </c>
      <c r="H406">
        <v>1.3650298791302662</v>
      </c>
      <c r="I406">
        <v>2.0380400115710873</v>
      </c>
      <c r="J406"/>
      <c r="K406">
        <v>71.3</v>
      </c>
      <c r="L406">
        <v>6</v>
      </c>
      <c r="M406"/>
      <c r="N406"/>
    </row>
    <row r="407" spans="1:14" s="90" customFormat="1">
      <c r="A407" s="468">
        <v>6</v>
      </c>
      <c r="B407" s="468">
        <v>41</v>
      </c>
      <c r="C407" s="468">
        <v>4</v>
      </c>
      <c r="D407" s="468">
        <v>2</v>
      </c>
      <c r="F407">
        <v>358</v>
      </c>
      <c r="G407">
        <v>6.3804960168418523</v>
      </c>
      <c r="H407">
        <v>0.6195039831581477</v>
      </c>
      <c r="I407">
        <v>0.92494232126876197</v>
      </c>
      <c r="J407"/>
      <c r="K407">
        <v>71.5</v>
      </c>
      <c r="L407">
        <v>6</v>
      </c>
      <c r="M407"/>
      <c r="N407"/>
    </row>
    <row r="408" spans="1:14" s="90" customFormat="1">
      <c r="A408" s="468">
        <v>7</v>
      </c>
      <c r="B408" s="468">
        <v>85</v>
      </c>
      <c r="C408" s="468">
        <v>4</v>
      </c>
      <c r="D408" s="468">
        <v>0</v>
      </c>
      <c r="F408">
        <v>359</v>
      </c>
      <c r="G408">
        <v>4.4465411478872703</v>
      </c>
      <c r="H408">
        <v>-0.44654114788727028</v>
      </c>
      <c r="I408">
        <v>-0.6667024217718901</v>
      </c>
      <c r="J408"/>
      <c r="K408">
        <v>71.7</v>
      </c>
      <c r="L408">
        <v>6</v>
      </c>
      <c r="M408"/>
      <c r="N408"/>
    </row>
    <row r="409" spans="1:14" s="90" customFormat="1">
      <c r="A409" s="468">
        <v>5</v>
      </c>
      <c r="B409" s="468">
        <v>67</v>
      </c>
      <c r="C409" s="468">
        <v>3</v>
      </c>
      <c r="D409" s="468">
        <v>1</v>
      </c>
      <c r="F409">
        <v>360</v>
      </c>
      <c r="G409">
        <v>4.4520184124056588</v>
      </c>
      <c r="H409">
        <v>-0.45201841240565876</v>
      </c>
      <c r="I409">
        <v>-0.67488017993902039</v>
      </c>
      <c r="J409"/>
      <c r="K409">
        <v>71.899999999999991</v>
      </c>
      <c r="L409">
        <v>6</v>
      </c>
      <c r="M409"/>
      <c r="N409"/>
    </row>
    <row r="410" spans="1:14" s="90" customFormat="1">
      <c r="A410" s="468">
        <v>5</v>
      </c>
      <c r="B410" s="468">
        <v>43</v>
      </c>
      <c r="C410" s="468">
        <v>3</v>
      </c>
      <c r="D410" s="468">
        <v>1</v>
      </c>
      <c r="F410">
        <v>361</v>
      </c>
      <c r="G410">
        <v>2.2675729045274782</v>
      </c>
      <c r="H410">
        <v>0.73242709547252183</v>
      </c>
      <c r="I410">
        <v>1.0935406974995197</v>
      </c>
      <c r="J410"/>
      <c r="K410">
        <v>72.099999999999994</v>
      </c>
      <c r="L410">
        <v>6</v>
      </c>
      <c r="M410"/>
      <c r="N410"/>
    </row>
    <row r="411" spans="1:14" s="90" customFormat="1">
      <c r="A411" s="468">
        <v>5</v>
      </c>
      <c r="B411" s="468">
        <v>57</v>
      </c>
      <c r="C411" s="468">
        <v>3</v>
      </c>
      <c r="D411" s="468">
        <v>1</v>
      </c>
      <c r="F411">
        <v>362</v>
      </c>
      <c r="G411">
        <v>4.45948740947619</v>
      </c>
      <c r="H411">
        <v>-0.45948740947619005</v>
      </c>
      <c r="I411">
        <v>-0.68603166834874574</v>
      </c>
      <c r="J411"/>
      <c r="K411">
        <v>72.3</v>
      </c>
      <c r="L411">
        <v>6</v>
      </c>
      <c r="M411"/>
      <c r="N411"/>
    </row>
    <row r="412" spans="1:14" s="90" customFormat="1">
      <c r="A412" s="468">
        <v>5</v>
      </c>
      <c r="B412" s="468">
        <v>27</v>
      </c>
      <c r="C412" s="468">
        <v>3</v>
      </c>
      <c r="D412" s="468">
        <v>1</v>
      </c>
      <c r="F412">
        <v>363</v>
      </c>
      <c r="G412">
        <v>6.3809939499798878</v>
      </c>
      <c r="H412">
        <v>-0.38099394997988778</v>
      </c>
      <c r="I412">
        <v>-0.56883803504745434</v>
      </c>
      <c r="J412"/>
      <c r="K412">
        <v>72.5</v>
      </c>
      <c r="L412">
        <v>6</v>
      </c>
      <c r="M412"/>
      <c r="N412"/>
    </row>
    <row r="413" spans="1:14" s="90" customFormat="1">
      <c r="A413" s="468">
        <v>6</v>
      </c>
      <c r="B413" s="468">
        <v>54</v>
      </c>
      <c r="C413" s="468">
        <v>4</v>
      </c>
      <c r="D413" s="468">
        <v>0</v>
      </c>
      <c r="F413">
        <v>364</v>
      </c>
      <c r="G413">
        <v>4.437080418264598</v>
      </c>
      <c r="H413">
        <v>-0.43708041826459798</v>
      </c>
      <c r="I413">
        <v>-0.65257720311957224</v>
      </c>
      <c r="J413"/>
      <c r="K413">
        <v>72.7</v>
      </c>
      <c r="L413">
        <v>6</v>
      </c>
      <c r="M413"/>
      <c r="N413"/>
    </row>
    <row r="414" spans="1:14" s="90" customFormat="1">
      <c r="A414" s="468">
        <v>5</v>
      </c>
      <c r="B414" s="468">
        <v>86</v>
      </c>
      <c r="C414" s="468">
        <v>3</v>
      </c>
      <c r="D414" s="468">
        <v>0</v>
      </c>
      <c r="F414">
        <v>365</v>
      </c>
      <c r="G414">
        <v>6.6339742545936637</v>
      </c>
      <c r="H414">
        <v>-0.63397425459366374</v>
      </c>
      <c r="I414">
        <v>-0.94654697081875283</v>
      </c>
      <c r="J414"/>
      <c r="K414">
        <v>72.899999999999991</v>
      </c>
      <c r="L414">
        <v>6</v>
      </c>
      <c r="M414"/>
      <c r="N414"/>
    </row>
    <row r="415" spans="1:14" s="90" customFormat="1">
      <c r="A415" s="468">
        <v>4</v>
      </c>
      <c r="B415" s="468">
        <v>64</v>
      </c>
      <c r="C415" s="468">
        <v>2</v>
      </c>
      <c r="D415" s="468">
        <v>0</v>
      </c>
      <c r="F415">
        <v>366</v>
      </c>
      <c r="G415">
        <v>4.4465411478872703</v>
      </c>
      <c r="H415">
        <v>-0.44654114788727028</v>
      </c>
      <c r="I415">
        <v>-0.6667024217718901</v>
      </c>
      <c r="J415"/>
      <c r="K415">
        <v>73.099999999999994</v>
      </c>
      <c r="L415">
        <v>6</v>
      </c>
      <c r="M415"/>
      <c r="N415"/>
    </row>
    <row r="416" spans="1:14" s="90" customFormat="1">
      <c r="A416" s="468">
        <v>5</v>
      </c>
      <c r="B416" s="468">
        <v>33</v>
      </c>
      <c r="C416" s="468">
        <v>3</v>
      </c>
      <c r="D416" s="468">
        <v>0</v>
      </c>
      <c r="F416">
        <v>367</v>
      </c>
      <c r="G416">
        <v>6.1349847092986058</v>
      </c>
      <c r="H416">
        <v>0.86501529070139416</v>
      </c>
      <c r="I416">
        <v>1.2914997686303378</v>
      </c>
      <c r="J416"/>
      <c r="K416">
        <v>73.3</v>
      </c>
      <c r="L416">
        <v>6</v>
      </c>
      <c r="M416"/>
      <c r="N416"/>
    </row>
    <row r="417" spans="1:14" s="90" customFormat="1">
      <c r="A417" s="468">
        <v>5</v>
      </c>
      <c r="B417" s="468">
        <v>44</v>
      </c>
      <c r="C417" s="468">
        <v>3</v>
      </c>
      <c r="D417" s="468">
        <v>0</v>
      </c>
      <c r="F417">
        <v>368</v>
      </c>
      <c r="G417">
        <v>4.4435535490590574</v>
      </c>
      <c r="H417">
        <v>-0.44355354905905742</v>
      </c>
      <c r="I417">
        <v>-0.66224182640799945</v>
      </c>
      <c r="J417"/>
      <c r="K417">
        <v>73.5</v>
      </c>
      <c r="L417">
        <v>6</v>
      </c>
      <c r="M417"/>
      <c r="N417"/>
    </row>
    <row r="418" spans="1:14" s="90" customFormat="1">
      <c r="A418" s="468">
        <v>4</v>
      </c>
      <c r="B418" s="468">
        <v>39</v>
      </c>
      <c r="C418" s="468">
        <v>2</v>
      </c>
      <c r="D418" s="468">
        <v>0</v>
      </c>
      <c r="F418">
        <v>369</v>
      </c>
      <c r="G418">
        <v>6.6245135249709914</v>
      </c>
      <c r="H418">
        <v>1.3754864750290086</v>
      </c>
      <c r="I418">
        <v>2.0536520953447006</v>
      </c>
      <c r="J418"/>
      <c r="K418">
        <v>73.7</v>
      </c>
      <c r="L418">
        <v>6</v>
      </c>
      <c r="M418"/>
      <c r="N418"/>
    </row>
    <row r="419" spans="1:14" s="90" customFormat="1">
      <c r="A419" s="468">
        <v>6</v>
      </c>
      <c r="B419" s="468">
        <v>67</v>
      </c>
      <c r="C419" s="468">
        <v>4</v>
      </c>
      <c r="D419" s="468">
        <v>1</v>
      </c>
      <c r="F419">
        <v>370</v>
      </c>
      <c r="G419">
        <v>6.3799980837038168</v>
      </c>
      <c r="H419">
        <v>-0.37999808370381682</v>
      </c>
      <c r="I419">
        <v>-0.56735116992615742</v>
      </c>
      <c r="J419"/>
      <c r="K419">
        <v>73.899999999999991</v>
      </c>
      <c r="L419">
        <v>6</v>
      </c>
      <c r="M419"/>
      <c r="N419"/>
    </row>
    <row r="420" spans="1:14" s="90" customFormat="1">
      <c r="A420" s="468">
        <v>6</v>
      </c>
      <c r="B420" s="468">
        <v>26</v>
      </c>
      <c r="C420" s="468">
        <v>4</v>
      </c>
      <c r="D420" s="468">
        <v>1</v>
      </c>
      <c r="F420">
        <v>371</v>
      </c>
      <c r="G420">
        <v>6.1384702412648542</v>
      </c>
      <c r="H420">
        <v>0.86152975873514581</v>
      </c>
      <c r="I420">
        <v>1.2862957407057987</v>
      </c>
      <c r="J420"/>
      <c r="K420">
        <v>74.099999999999994</v>
      </c>
      <c r="L420">
        <v>6</v>
      </c>
      <c r="M420"/>
      <c r="N420"/>
    </row>
    <row r="421" spans="1:14" s="90" customFormat="1">
      <c r="A421" s="468">
        <v>4</v>
      </c>
      <c r="B421" s="468">
        <v>71</v>
      </c>
      <c r="C421" s="468">
        <v>2</v>
      </c>
      <c r="D421" s="468">
        <v>0</v>
      </c>
      <c r="F421">
        <v>372</v>
      </c>
      <c r="G421">
        <v>6.1305033110562874</v>
      </c>
      <c r="H421">
        <v>0.86949668894371257</v>
      </c>
      <c r="I421">
        <v>1.2981906616761725</v>
      </c>
      <c r="J421"/>
      <c r="K421">
        <v>74.3</v>
      </c>
      <c r="L421">
        <v>6</v>
      </c>
      <c r="M421"/>
      <c r="N421"/>
    </row>
    <row r="422" spans="1:14" s="90" customFormat="1">
      <c r="A422" s="468">
        <v>4</v>
      </c>
      <c r="B422" s="468">
        <v>45</v>
      </c>
      <c r="C422" s="468">
        <v>2</v>
      </c>
      <c r="D422" s="468">
        <v>0</v>
      </c>
      <c r="F422">
        <v>373</v>
      </c>
      <c r="G422">
        <v>6.6200321267286721</v>
      </c>
      <c r="H422">
        <v>-0.62003212672867214</v>
      </c>
      <c r="I422">
        <v>-0.92573085912059905</v>
      </c>
      <c r="J422"/>
      <c r="K422">
        <v>74.5</v>
      </c>
      <c r="L422">
        <v>6</v>
      </c>
      <c r="M422"/>
      <c r="N422"/>
    </row>
    <row r="423" spans="1:14" s="90" customFormat="1">
      <c r="A423" s="468">
        <v>5</v>
      </c>
      <c r="B423" s="468">
        <v>69</v>
      </c>
      <c r="C423" s="468">
        <v>3</v>
      </c>
      <c r="D423" s="468">
        <v>0</v>
      </c>
      <c r="F423">
        <v>374</v>
      </c>
      <c r="G423">
        <v>6.1549020348200214</v>
      </c>
      <c r="H423">
        <v>-0.15490203482002141</v>
      </c>
      <c r="I423">
        <v>-0.2312744575511626</v>
      </c>
      <c r="J423"/>
      <c r="K423">
        <v>74.7</v>
      </c>
      <c r="L423">
        <v>6</v>
      </c>
      <c r="M423"/>
      <c r="N423"/>
    </row>
    <row r="424" spans="1:14" s="90" customFormat="1">
      <c r="A424" s="468">
        <v>6</v>
      </c>
      <c r="B424" s="468">
        <v>68</v>
      </c>
      <c r="C424" s="468">
        <v>4</v>
      </c>
      <c r="D424" s="468">
        <v>1</v>
      </c>
      <c r="F424">
        <v>375</v>
      </c>
      <c r="G424">
        <v>4.2109885031047325</v>
      </c>
      <c r="H424">
        <v>-0.21098850310473249</v>
      </c>
      <c r="I424">
        <v>-0.31501362562328189</v>
      </c>
      <c r="J424"/>
      <c r="K424">
        <v>74.899999999999991</v>
      </c>
      <c r="L424">
        <v>6</v>
      </c>
      <c r="M424"/>
      <c r="N424"/>
    </row>
    <row r="425" spans="1:14" s="90" customFormat="1">
      <c r="A425" s="468">
        <v>7</v>
      </c>
      <c r="B425" s="468">
        <v>44</v>
      </c>
      <c r="C425" s="468">
        <v>4</v>
      </c>
      <c r="D425" s="468">
        <v>2</v>
      </c>
      <c r="F425">
        <v>376</v>
      </c>
      <c r="G425">
        <v>5.0435088550665688</v>
      </c>
      <c r="H425">
        <v>-4.3508855066568763E-2</v>
      </c>
      <c r="I425">
        <v>-6.496032712471668E-2</v>
      </c>
      <c r="J425"/>
      <c r="K425">
        <v>75.099999999999994</v>
      </c>
      <c r="L425">
        <v>6</v>
      </c>
      <c r="M425"/>
      <c r="N425"/>
    </row>
    <row r="426" spans="1:14" s="90" customFormat="1">
      <c r="A426" s="468">
        <v>5</v>
      </c>
      <c r="B426" s="468">
        <v>53</v>
      </c>
      <c r="C426" s="468">
        <v>3</v>
      </c>
      <c r="D426" s="468">
        <v>0</v>
      </c>
      <c r="F426">
        <v>377</v>
      </c>
      <c r="G426">
        <v>2.277531567288186</v>
      </c>
      <c r="H426">
        <v>0.72246843271181405</v>
      </c>
      <c r="I426">
        <v>1.0786720462865533</v>
      </c>
      <c r="J426"/>
      <c r="K426">
        <v>75.3</v>
      </c>
      <c r="L426">
        <v>6</v>
      </c>
      <c r="M426"/>
      <c r="N426"/>
    </row>
    <row r="427" spans="1:14" s="90" customFormat="1">
      <c r="A427" s="468">
        <v>6</v>
      </c>
      <c r="B427" s="468">
        <v>65</v>
      </c>
      <c r="C427" s="468">
        <v>4</v>
      </c>
      <c r="D427" s="468">
        <v>1</v>
      </c>
      <c r="F427">
        <v>378</v>
      </c>
      <c r="G427">
        <v>6.3670518221148962</v>
      </c>
      <c r="H427">
        <v>-0.36705182211489618</v>
      </c>
      <c r="I427">
        <v>-0.54802192334930044</v>
      </c>
      <c r="J427"/>
      <c r="K427">
        <v>75.5</v>
      </c>
      <c r="L427">
        <v>6</v>
      </c>
      <c r="M427"/>
      <c r="N427"/>
    </row>
    <row r="428" spans="1:14" s="90" customFormat="1">
      <c r="A428" s="468">
        <v>4</v>
      </c>
      <c r="B428" s="468">
        <v>39</v>
      </c>
      <c r="C428" s="468">
        <v>2</v>
      </c>
      <c r="D428" s="468">
        <v>0</v>
      </c>
      <c r="F428">
        <v>379</v>
      </c>
      <c r="G428">
        <v>2.2879881631869292</v>
      </c>
      <c r="H428">
        <v>0.71201183681307079</v>
      </c>
      <c r="I428">
        <v>1.0630599625129387</v>
      </c>
      <c r="J428"/>
      <c r="K428">
        <v>75.7</v>
      </c>
      <c r="L428">
        <v>6</v>
      </c>
      <c r="M428"/>
      <c r="N428"/>
    </row>
    <row r="429" spans="1:14" s="90" customFormat="1">
      <c r="A429" s="468">
        <v>7</v>
      </c>
      <c r="B429" s="468">
        <v>88</v>
      </c>
      <c r="C429" s="468">
        <v>4</v>
      </c>
      <c r="D429" s="468">
        <v>1</v>
      </c>
      <c r="F429">
        <v>380</v>
      </c>
      <c r="G429">
        <v>6.6155507284863537</v>
      </c>
      <c r="H429">
        <v>0.38444927151364627</v>
      </c>
      <c r="I429">
        <v>0.5739969576808035</v>
      </c>
      <c r="J429"/>
      <c r="K429">
        <v>75.899999999999991</v>
      </c>
      <c r="L429">
        <v>6</v>
      </c>
      <c r="M429"/>
      <c r="N429"/>
    </row>
    <row r="430" spans="1:14" s="90" customFormat="1">
      <c r="A430" s="468">
        <v>4</v>
      </c>
      <c r="B430" s="468">
        <v>56</v>
      </c>
      <c r="C430" s="468">
        <v>2</v>
      </c>
      <c r="D430" s="468">
        <v>0</v>
      </c>
      <c r="F430">
        <v>381</v>
      </c>
      <c r="G430">
        <v>6.3864712144982763</v>
      </c>
      <c r="H430">
        <v>0.61352878550172374</v>
      </c>
      <c r="I430">
        <v>0.91602113054098322</v>
      </c>
      <c r="J430"/>
      <c r="K430">
        <v>76.099999999999994</v>
      </c>
      <c r="L430">
        <v>6</v>
      </c>
      <c r="M430"/>
      <c r="N430"/>
    </row>
    <row r="431" spans="1:14" s="90" customFormat="1">
      <c r="A431" s="468">
        <v>7</v>
      </c>
      <c r="B431" s="468">
        <v>55</v>
      </c>
      <c r="C431" s="468">
        <v>4</v>
      </c>
      <c r="D431" s="468">
        <v>2</v>
      </c>
      <c r="F431">
        <v>382</v>
      </c>
      <c r="G431">
        <v>6.3884629470504182</v>
      </c>
      <c r="H431">
        <v>-0.38846294705041817</v>
      </c>
      <c r="I431">
        <v>-0.57998952345717836</v>
      </c>
      <c r="J431"/>
      <c r="K431">
        <v>76.3</v>
      </c>
      <c r="L431">
        <v>6</v>
      </c>
      <c r="M431"/>
      <c r="N431"/>
    </row>
    <row r="432" spans="1:14" s="90" customFormat="1">
      <c r="A432" s="468">
        <v>7</v>
      </c>
      <c r="B432" s="468">
        <v>42</v>
      </c>
      <c r="C432" s="468">
        <v>4</v>
      </c>
      <c r="D432" s="468">
        <v>2</v>
      </c>
      <c r="F432">
        <v>383</v>
      </c>
      <c r="G432">
        <v>2.2700625702176551</v>
      </c>
      <c r="H432">
        <v>0.72993742978234488</v>
      </c>
      <c r="I432">
        <v>1.0898235346962779</v>
      </c>
      <c r="J432"/>
      <c r="K432">
        <v>76.5</v>
      </c>
      <c r="L432">
        <v>6</v>
      </c>
      <c r="M432"/>
      <c r="N432"/>
    </row>
    <row r="433" spans="1:14" s="90" customFormat="1">
      <c r="A433" s="468">
        <v>5</v>
      </c>
      <c r="B433" s="468">
        <v>27</v>
      </c>
      <c r="C433" s="468">
        <v>3</v>
      </c>
      <c r="D433" s="468">
        <v>0</v>
      </c>
      <c r="F433">
        <v>384</v>
      </c>
      <c r="G433">
        <v>4.4395700839547745</v>
      </c>
      <c r="H433">
        <v>-0.43957008395477448</v>
      </c>
      <c r="I433">
        <v>-0.65629436592281321</v>
      </c>
      <c r="J433"/>
      <c r="K433">
        <v>76.7</v>
      </c>
      <c r="L433">
        <v>6</v>
      </c>
      <c r="M433"/>
      <c r="N433"/>
    </row>
    <row r="434" spans="1:14" s="90" customFormat="1">
      <c r="A434" s="468">
        <v>8</v>
      </c>
      <c r="B434" s="468">
        <v>36</v>
      </c>
      <c r="C434" s="468">
        <v>4</v>
      </c>
      <c r="D434" s="468">
        <v>0</v>
      </c>
      <c r="F434">
        <v>385</v>
      </c>
      <c r="G434">
        <v>6.6155507284863537</v>
      </c>
      <c r="H434">
        <v>0.38444927151364627</v>
      </c>
      <c r="I434">
        <v>0.5739969576808035</v>
      </c>
      <c r="J434"/>
      <c r="K434">
        <v>76.900000000000006</v>
      </c>
      <c r="L434">
        <v>6</v>
      </c>
      <c r="M434"/>
      <c r="N434"/>
    </row>
    <row r="435" spans="1:14" s="90" customFormat="1">
      <c r="A435" s="468">
        <v>5</v>
      </c>
      <c r="B435" s="468">
        <v>31</v>
      </c>
      <c r="C435" s="468">
        <v>3</v>
      </c>
      <c r="D435" s="468">
        <v>0</v>
      </c>
      <c r="F435">
        <v>386</v>
      </c>
      <c r="G435">
        <v>5.0489861195849572</v>
      </c>
      <c r="H435">
        <v>-4.8986119584957244E-2</v>
      </c>
      <c r="I435">
        <v>-7.3138085291846941E-2</v>
      </c>
      <c r="J435"/>
      <c r="K435">
        <v>77.099999999999994</v>
      </c>
      <c r="L435">
        <v>6</v>
      </c>
      <c r="M435"/>
      <c r="N435"/>
    </row>
    <row r="436" spans="1:14" s="90" customFormat="1">
      <c r="A436" s="468">
        <v>7</v>
      </c>
      <c r="B436" s="468">
        <v>19</v>
      </c>
      <c r="C436" s="468">
        <v>4</v>
      </c>
      <c r="D436" s="468">
        <v>1</v>
      </c>
      <c r="F436">
        <v>387</v>
      </c>
      <c r="G436">
        <v>6.6235176586949205</v>
      </c>
      <c r="H436">
        <v>-0.62351765869492048</v>
      </c>
      <c r="I436">
        <v>-0.93093488704513816</v>
      </c>
      <c r="J436"/>
      <c r="K436">
        <v>77.3</v>
      </c>
      <c r="L436">
        <v>6</v>
      </c>
      <c r="M436"/>
      <c r="N436"/>
    </row>
    <row r="437" spans="1:14" s="90" customFormat="1">
      <c r="A437" s="468">
        <v>6</v>
      </c>
      <c r="B437" s="468">
        <v>107</v>
      </c>
      <c r="C437" s="468">
        <v>4</v>
      </c>
      <c r="D437" s="468">
        <v>1</v>
      </c>
      <c r="F437">
        <v>388</v>
      </c>
      <c r="G437">
        <v>6.3819898162559587</v>
      </c>
      <c r="H437">
        <v>-0.38198981625595874</v>
      </c>
      <c r="I437">
        <v>-0.57032490016875126</v>
      </c>
      <c r="J437"/>
      <c r="K437">
        <v>77.5</v>
      </c>
      <c r="L437">
        <v>6</v>
      </c>
      <c r="M437"/>
      <c r="N437"/>
    </row>
    <row r="438" spans="1:14" s="90" customFormat="1">
      <c r="A438" s="468">
        <v>6</v>
      </c>
      <c r="B438" s="468">
        <v>111</v>
      </c>
      <c r="C438" s="468">
        <v>4</v>
      </c>
      <c r="D438" s="468">
        <v>1</v>
      </c>
      <c r="F438">
        <v>389</v>
      </c>
      <c r="G438">
        <v>6.1290095116421819</v>
      </c>
      <c r="H438">
        <v>-0.12900951164218188</v>
      </c>
      <c r="I438">
        <v>-0.19261596439745135</v>
      </c>
      <c r="J438"/>
      <c r="K438">
        <v>77.7</v>
      </c>
      <c r="L438">
        <v>6</v>
      </c>
      <c r="M438"/>
      <c r="N438"/>
    </row>
    <row r="439" spans="1:14" s="90" customFormat="1">
      <c r="A439" s="468">
        <v>5</v>
      </c>
      <c r="B439" s="468">
        <v>73</v>
      </c>
      <c r="C439" s="468">
        <v>3</v>
      </c>
      <c r="D439" s="468">
        <v>0</v>
      </c>
      <c r="F439">
        <v>390</v>
      </c>
      <c r="G439">
        <v>5.3034602236128405</v>
      </c>
      <c r="H439">
        <v>-0.30346022361284053</v>
      </c>
      <c r="I439">
        <v>-0.45307731874509216</v>
      </c>
      <c r="J439"/>
      <c r="K439">
        <v>77.900000000000006</v>
      </c>
      <c r="L439">
        <v>7</v>
      </c>
      <c r="M439"/>
      <c r="N439"/>
    </row>
    <row r="440" spans="1:14" s="90" customFormat="1">
      <c r="A440" s="468">
        <v>5</v>
      </c>
      <c r="B440" s="468">
        <v>34</v>
      </c>
      <c r="C440" s="468">
        <v>3</v>
      </c>
      <c r="D440" s="468">
        <v>0</v>
      </c>
      <c r="F440">
        <v>391</v>
      </c>
      <c r="G440">
        <v>6.1265198459520045</v>
      </c>
      <c r="H440">
        <v>-0.12651984595200449</v>
      </c>
      <c r="I440">
        <v>-0.18889880159420913</v>
      </c>
      <c r="J440"/>
      <c r="K440">
        <v>78.099999999999994</v>
      </c>
      <c r="L440">
        <v>7</v>
      </c>
      <c r="M440"/>
      <c r="N440"/>
    </row>
    <row r="441" spans="1:14" s="90" customFormat="1">
      <c r="A441" s="468">
        <v>5</v>
      </c>
      <c r="B441" s="468">
        <v>47</v>
      </c>
      <c r="C441" s="468">
        <v>3</v>
      </c>
      <c r="D441" s="468">
        <v>0</v>
      </c>
      <c r="F441">
        <v>392</v>
      </c>
      <c r="G441">
        <v>4.4415618165069155</v>
      </c>
      <c r="H441">
        <v>-0.44156181650691551</v>
      </c>
      <c r="I441">
        <v>-0.6592680961654056</v>
      </c>
      <c r="J441"/>
      <c r="K441">
        <v>78.3</v>
      </c>
      <c r="L441">
        <v>7</v>
      </c>
      <c r="M441"/>
      <c r="N441"/>
    </row>
    <row r="442" spans="1:14" s="90" customFormat="1">
      <c r="A442" s="468">
        <v>4</v>
      </c>
      <c r="B442" s="468">
        <v>15</v>
      </c>
      <c r="C442" s="468">
        <v>2</v>
      </c>
      <c r="D442" s="468">
        <v>0</v>
      </c>
      <c r="F442">
        <v>393</v>
      </c>
      <c r="G442">
        <v>4.4480349473013758</v>
      </c>
      <c r="H442">
        <v>-0.44803494730137583</v>
      </c>
      <c r="I442">
        <v>-0.66893271945383415</v>
      </c>
      <c r="J442"/>
      <c r="K442">
        <v>78.5</v>
      </c>
      <c r="L442">
        <v>7</v>
      </c>
      <c r="M442"/>
      <c r="N442"/>
    </row>
    <row r="443" spans="1:14" s="90" customFormat="1">
      <c r="A443" s="468">
        <v>5</v>
      </c>
      <c r="B443" s="468">
        <v>41</v>
      </c>
      <c r="C443" s="468">
        <v>3</v>
      </c>
      <c r="D443" s="468">
        <v>0</v>
      </c>
      <c r="F443">
        <v>394</v>
      </c>
      <c r="G443">
        <v>6.1245281133998626</v>
      </c>
      <c r="H443">
        <v>-0.12452811339986258</v>
      </c>
      <c r="I443">
        <v>-0.18592507135161535</v>
      </c>
      <c r="J443"/>
      <c r="K443">
        <v>78.7</v>
      </c>
      <c r="L443">
        <v>7</v>
      </c>
      <c r="M443"/>
      <c r="N443"/>
    </row>
    <row r="444" spans="1:14" s="90" customFormat="1">
      <c r="A444" s="468">
        <v>6</v>
      </c>
      <c r="B444" s="468">
        <v>92</v>
      </c>
      <c r="C444" s="468">
        <v>4</v>
      </c>
      <c r="D444" s="468">
        <v>0</v>
      </c>
      <c r="F444">
        <v>395</v>
      </c>
      <c r="G444">
        <v>6.6115672633820708</v>
      </c>
      <c r="H444">
        <v>1.3884327366179292</v>
      </c>
      <c r="I444">
        <v>2.0729813419215577</v>
      </c>
      <c r="J444"/>
      <c r="K444">
        <v>78.900000000000006</v>
      </c>
      <c r="L444">
        <v>7</v>
      </c>
      <c r="M444"/>
      <c r="N444"/>
    </row>
    <row r="445" spans="1:14" s="90" customFormat="1">
      <c r="A445" s="468">
        <v>6</v>
      </c>
      <c r="B445" s="468">
        <v>55</v>
      </c>
      <c r="C445" s="468">
        <v>4</v>
      </c>
      <c r="D445" s="468">
        <v>2</v>
      </c>
      <c r="F445">
        <v>396</v>
      </c>
      <c r="G445">
        <v>5.2939994939901682</v>
      </c>
      <c r="H445">
        <v>-0.29399949399016823</v>
      </c>
      <c r="I445">
        <v>-0.4389521000927743</v>
      </c>
      <c r="J445"/>
      <c r="K445">
        <v>79.099999999999994</v>
      </c>
      <c r="L445">
        <v>7</v>
      </c>
      <c r="M445"/>
      <c r="N445"/>
    </row>
    <row r="446" spans="1:14" s="90" customFormat="1">
      <c r="A446" s="468">
        <v>5</v>
      </c>
      <c r="B446" s="468">
        <v>45</v>
      </c>
      <c r="C446" s="468">
        <v>3</v>
      </c>
      <c r="D446" s="468">
        <v>1</v>
      </c>
      <c r="F446">
        <v>397</v>
      </c>
      <c r="G446">
        <v>4.44106388336888</v>
      </c>
      <c r="H446">
        <v>-0.44106388336888003</v>
      </c>
      <c r="I446">
        <v>-0.65852466360475714</v>
      </c>
      <c r="J446"/>
      <c r="K446">
        <v>79.3</v>
      </c>
      <c r="L446">
        <v>7</v>
      </c>
      <c r="M446"/>
      <c r="N446"/>
    </row>
    <row r="447" spans="1:14" s="90" customFormat="1">
      <c r="A447" s="468">
        <v>4</v>
      </c>
      <c r="B447" s="468">
        <v>48</v>
      </c>
      <c r="C447" s="468">
        <v>2</v>
      </c>
      <c r="D447" s="468">
        <v>0</v>
      </c>
      <c r="F447">
        <v>398</v>
      </c>
      <c r="G447">
        <v>6.3715332203572155</v>
      </c>
      <c r="H447">
        <v>-0.37153322035721548</v>
      </c>
      <c r="I447">
        <v>-0.55471281639513648</v>
      </c>
      <c r="J447"/>
      <c r="K447">
        <v>79.5</v>
      </c>
      <c r="L447">
        <v>7</v>
      </c>
      <c r="M447"/>
      <c r="N447"/>
    </row>
    <row r="448" spans="1:14" s="90" customFormat="1">
      <c r="A448" s="468">
        <v>8</v>
      </c>
      <c r="B448" s="468">
        <v>33</v>
      </c>
      <c r="C448" s="468">
        <v>4</v>
      </c>
      <c r="D448" s="468">
        <v>0</v>
      </c>
      <c r="F448">
        <v>399</v>
      </c>
      <c r="G448">
        <v>4.187087712479034</v>
      </c>
      <c r="H448">
        <v>-0.187087712479034</v>
      </c>
      <c r="I448">
        <v>-0.27932886271216306</v>
      </c>
      <c r="J448"/>
      <c r="K448">
        <v>79.7</v>
      </c>
      <c r="L448">
        <v>7</v>
      </c>
      <c r="M448"/>
      <c r="N448"/>
    </row>
    <row r="449" spans="1:14" s="90" customFormat="1">
      <c r="A449" s="468">
        <v>5</v>
      </c>
      <c r="B449" s="468">
        <v>84</v>
      </c>
      <c r="C449" s="468">
        <v>3</v>
      </c>
      <c r="D449" s="468">
        <v>1</v>
      </c>
      <c r="F449">
        <v>400</v>
      </c>
      <c r="G449">
        <v>5.0360398579960384</v>
      </c>
      <c r="H449">
        <v>-3.6039857996038371E-2</v>
      </c>
      <c r="I449">
        <v>-5.3808838714992632E-2</v>
      </c>
      <c r="J449"/>
      <c r="K449">
        <v>79.900000000000006</v>
      </c>
      <c r="L449">
        <v>7</v>
      </c>
      <c r="M449"/>
      <c r="N449"/>
    </row>
    <row r="450" spans="1:14" s="90" customFormat="1">
      <c r="A450" s="468">
        <v>4</v>
      </c>
      <c r="B450" s="468">
        <v>47</v>
      </c>
      <c r="C450" s="468">
        <v>2</v>
      </c>
      <c r="D450" s="468">
        <v>0</v>
      </c>
      <c r="F450">
        <v>401</v>
      </c>
      <c r="G450">
        <v>2.2685687708035487</v>
      </c>
      <c r="H450">
        <v>0.73143122919645132</v>
      </c>
      <c r="I450">
        <v>1.0920538323782234</v>
      </c>
      <c r="J450"/>
      <c r="K450">
        <v>80.099999999999994</v>
      </c>
      <c r="L450">
        <v>7</v>
      </c>
      <c r="M450"/>
      <c r="N450"/>
    </row>
    <row r="451" spans="1:14" s="90" customFormat="1">
      <c r="A451" s="468">
        <v>5</v>
      </c>
      <c r="B451" s="468">
        <v>25</v>
      </c>
      <c r="C451" s="468">
        <v>3</v>
      </c>
      <c r="D451" s="468">
        <v>1</v>
      </c>
      <c r="F451">
        <v>402</v>
      </c>
      <c r="G451">
        <v>6.3809939499798878</v>
      </c>
      <c r="H451">
        <v>-0.38099394997988778</v>
      </c>
      <c r="I451">
        <v>-0.56883803504745434</v>
      </c>
      <c r="J451"/>
      <c r="K451">
        <v>80.3</v>
      </c>
      <c r="L451">
        <v>7</v>
      </c>
      <c r="M451"/>
      <c r="N451"/>
    </row>
    <row r="452" spans="1:14" s="90" customFormat="1">
      <c r="A452" s="468">
        <v>8</v>
      </c>
      <c r="B452" s="468">
        <v>68</v>
      </c>
      <c r="C452" s="468">
        <v>4</v>
      </c>
      <c r="D452" s="468">
        <v>0</v>
      </c>
      <c r="F452">
        <v>403</v>
      </c>
      <c r="G452">
        <v>5.533535603876989</v>
      </c>
      <c r="H452">
        <v>-0.53353560387698895</v>
      </c>
      <c r="I452">
        <v>-0.7965883567265688</v>
      </c>
      <c r="J452"/>
      <c r="K452">
        <v>80.5</v>
      </c>
      <c r="L452">
        <v>7</v>
      </c>
      <c r="M452"/>
      <c r="N452"/>
    </row>
    <row r="453" spans="1:14" s="90" customFormat="1">
      <c r="A453" s="468">
        <v>5</v>
      </c>
      <c r="B453" s="468">
        <v>16</v>
      </c>
      <c r="C453" s="468">
        <v>3</v>
      </c>
      <c r="D453" s="468">
        <v>0</v>
      </c>
      <c r="F453">
        <v>404</v>
      </c>
      <c r="G453">
        <v>6.1314991773323584</v>
      </c>
      <c r="H453">
        <v>-0.13149917733235839</v>
      </c>
      <c r="I453">
        <v>-0.19633312720069226</v>
      </c>
      <c r="J453"/>
      <c r="K453">
        <v>80.7</v>
      </c>
      <c r="L453">
        <v>7</v>
      </c>
      <c r="M453"/>
      <c r="N453"/>
    </row>
    <row r="454" spans="1:14" s="90" customFormat="1">
      <c r="A454" s="468">
        <v>6</v>
      </c>
      <c r="B454" s="468">
        <v>74</v>
      </c>
      <c r="C454" s="468">
        <v>4</v>
      </c>
      <c r="D454" s="468">
        <v>1</v>
      </c>
      <c r="F454">
        <v>405</v>
      </c>
      <c r="G454">
        <v>6.6384556528359813</v>
      </c>
      <c r="H454">
        <v>0.36154434716401873</v>
      </c>
      <c r="I454">
        <v>0.53979905989098154</v>
      </c>
      <c r="J454"/>
      <c r="K454">
        <v>80.900000000000006</v>
      </c>
      <c r="L454">
        <v>7</v>
      </c>
      <c r="M454"/>
      <c r="N454"/>
    </row>
    <row r="455" spans="1:14" s="90" customFormat="1">
      <c r="A455" s="468">
        <v>5</v>
      </c>
      <c r="B455" s="468">
        <v>98</v>
      </c>
      <c r="C455" s="468">
        <v>3</v>
      </c>
      <c r="D455" s="468">
        <v>0</v>
      </c>
      <c r="F455">
        <v>406</v>
      </c>
      <c r="G455">
        <v>5.300970557922664</v>
      </c>
      <c r="H455">
        <v>-0.30097055792266403</v>
      </c>
      <c r="I455">
        <v>-0.44936015594185125</v>
      </c>
      <c r="J455"/>
      <c r="K455">
        <v>81.099999999999994</v>
      </c>
      <c r="L455">
        <v>7</v>
      </c>
      <c r="M455"/>
      <c r="N455"/>
    </row>
    <row r="456" spans="1:14" s="90" customFormat="1">
      <c r="A456" s="468">
        <v>3</v>
      </c>
      <c r="B456" s="468">
        <v>36</v>
      </c>
      <c r="C456" s="468">
        <v>0</v>
      </c>
      <c r="D456" s="468">
        <v>0</v>
      </c>
      <c r="F456">
        <v>407</v>
      </c>
      <c r="G456">
        <v>5.2890201626098143</v>
      </c>
      <c r="H456">
        <v>-0.28902016260981434</v>
      </c>
      <c r="I456">
        <v>-0.43151777448629119</v>
      </c>
      <c r="J456"/>
      <c r="K456">
        <v>81.3</v>
      </c>
      <c r="L456">
        <v>7</v>
      </c>
      <c r="M456"/>
      <c r="N456"/>
    </row>
    <row r="457" spans="1:14" s="90" customFormat="1">
      <c r="A457" s="468">
        <v>6</v>
      </c>
      <c r="B457" s="468">
        <v>15</v>
      </c>
      <c r="C457" s="468">
        <v>4</v>
      </c>
      <c r="D457" s="468">
        <v>1</v>
      </c>
      <c r="F457">
        <v>408</v>
      </c>
      <c r="G457">
        <v>5.2959912265423101</v>
      </c>
      <c r="H457">
        <v>-0.29599122654231014</v>
      </c>
      <c r="I457">
        <v>-0.44192583033536809</v>
      </c>
      <c r="J457"/>
      <c r="K457">
        <v>81.5</v>
      </c>
      <c r="L457">
        <v>7</v>
      </c>
      <c r="M457"/>
      <c r="N457"/>
    </row>
    <row r="458" spans="1:14" s="90" customFormat="1">
      <c r="A458" s="468">
        <v>4</v>
      </c>
      <c r="B458" s="468">
        <v>62</v>
      </c>
      <c r="C458" s="468">
        <v>2</v>
      </c>
      <c r="D458" s="468">
        <v>0</v>
      </c>
      <c r="F458">
        <v>409</v>
      </c>
      <c r="G458">
        <v>5.2810532324012485</v>
      </c>
      <c r="H458">
        <v>-0.28105323240124847</v>
      </c>
      <c r="I458">
        <v>-0.41962285351591871</v>
      </c>
      <c r="J458"/>
      <c r="K458">
        <v>81.7</v>
      </c>
      <c r="L458">
        <v>7</v>
      </c>
      <c r="M458"/>
      <c r="N458"/>
    </row>
    <row r="459" spans="1:14" s="90" customFormat="1">
      <c r="A459" s="468">
        <v>6</v>
      </c>
      <c r="B459" s="468">
        <v>25</v>
      </c>
      <c r="C459" s="468">
        <v>4</v>
      </c>
      <c r="D459" s="468">
        <v>2</v>
      </c>
      <c r="F459">
        <v>410</v>
      </c>
      <c r="G459">
        <v>6.623019725556885</v>
      </c>
      <c r="H459">
        <v>-0.62301972555688501</v>
      </c>
      <c r="I459">
        <v>-0.9301914544844897</v>
      </c>
      <c r="J459"/>
      <c r="K459">
        <v>81.900000000000006</v>
      </c>
      <c r="L459">
        <v>7</v>
      </c>
      <c r="M459"/>
      <c r="N459"/>
    </row>
    <row r="460" spans="1:14" s="90" customFormat="1">
      <c r="A460" s="468">
        <v>6</v>
      </c>
      <c r="B460" s="468">
        <v>66</v>
      </c>
      <c r="C460" s="468">
        <v>4</v>
      </c>
      <c r="D460" s="468">
        <v>1</v>
      </c>
      <c r="F460">
        <v>411</v>
      </c>
      <c r="G460">
        <v>5.552954996260369</v>
      </c>
      <c r="H460">
        <v>-0.55295499626036904</v>
      </c>
      <c r="I460">
        <v>-0.82558222659185287</v>
      </c>
      <c r="J460"/>
      <c r="K460">
        <v>82.1</v>
      </c>
      <c r="L460">
        <v>7</v>
      </c>
      <c r="M460"/>
      <c r="N460"/>
    </row>
    <row r="461" spans="1:14" s="90" customFormat="1">
      <c r="A461" s="468">
        <v>4</v>
      </c>
      <c r="B461" s="468">
        <v>71</v>
      </c>
      <c r="C461" s="468">
        <v>2</v>
      </c>
      <c r="D461" s="468">
        <v>0</v>
      </c>
      <c r="F461">
        <v>412</v>
      </c>
      <c r="G461">
        <v>4.4560018775099426</v>
      </c>
      <c r="H461">
        <v>-0.45600187750994259</v>
      </c>
      <c r="I461">
        <v>-0.68082764042420796</v>
      </c>
      <c r="J461"/>
      <c r="K461">
        <v>82.3</v>
      </c>
      <c r="L461">
        <v>7</v>
      </c>
      <c r="M461"/>
      <c r="N461"/>
    </row>
    <row r="462" spans="1:14" s="90" customFormat="1">
      <c r="A462" s="468">
        <v>7</v>
      </c>
      <c r="B462" s="468">
        <v>84</v>
      </c>
      <c r="C462" s="468">
        <v>4</v>
      </c>
      <c r="D462" s="468">
        <v>0</v>
      </c>
      <c r="F462">
        <v>413</v>
      </c>
      <c r="G462">
        <v>5.5265645399444931</v>
      </c>
      <c r="H462">
        <v>-0.52656453994449315</v>
      </c>
      <c r="I462">
        <v>-0.78618030087749191</v>
      </c>
      <c r="J462"/>
      <c r="K462">
        <v>82.5</v>
      </c>
      <c r="L462">
        <v>7</v>
      </c>
      <c r="M462"/>
      <c r="N462"/>
    </row>
    <row r="463" spans="1:14" s="90" customFormat="1">
      <c r="A463" s="468">
        <v>6</v>
      </c>
      <c r="B463" s="468">
        <v>73</v>
      </c>
      <c r="C463" s="468">
        <v>4</v>
      </c>
      <c r="D463" s="468">
        <v>2</v>
      </c>
      <c r="F463">
        <v>414</v>
      </c>
      <c r="G463">
        <v>5.5320418044628825</v>
      </c>
      <c r="H463">
        <v>-0.53204180446288252</v>
      </c>
      <c r="I463">
        <v>-0.79435805904462342</v>
      </c>
      <c r="J463"/>
      <c r="K463">
        <v>82.7</v>
      </c>
      <c r="L463">
        <v>7</v>
      </c>
      <c r="M463"/>
      <c r="N463"/>
    </row>
    <row r="464" spans="1:14" s="90" customFormat="1">
      <c r="A464" s="468">
        <v>10</v>
      </c>
      <c r="B464" s="468">
        <v>76</v>
      </c>
      <c r="C464" s="468">
        <v>5</v>
      </c>
      <c r="D464" s="468">
        <v>0</v>
      </c>
      <c r="F464">
        <v>415</v>
      </c>
      <c r="G464">
        <v>4.4435535490590574</v>
      </c>
      <c r="H464">
        <v>-0.44355354905905742</v>
      </c>
      <c r="I464">
        <v>-0.66224182640799945</v>
      </c>
      <c r="J464"/>
      <c r="K464">
        <v>82.9</v>
      </c>
      <c r="L464">
        <v>7</v>
      </c>
      <c r="M464"/>
      <c r="N464"/>
    </row>
    <row r="465" spans="1:14" s="90" customFormat="1">
      <c r="A465" s="468">
        <v>5</v>
      </c>
      <c r="B465" s="468">
        <v>35</v>
      </c>
      <c r="C465" s="468">
        <v>3</v>
      </c>
      <c r="D465" s="468">
        <v>0</v>
      </c>
      <c r="F465">
        <v>416</v>
      </c>
      <c r="G465">
        <v>6.3869691476363117</v>
      </c>
      <c r="H465">
        <v>-0.38696914763631174</v>
      </c>
      <c r="I465">
        <v>-0.57775922577523309</v>
      </c>
      <c r="J465"/>
      <c r="K465">
        <v>83.1</v>
      </c>
      <c r="L465">
        <v>7</v>
      </c>
      <c r="M465"/>
      <c r="N465"/>
    </row>
    <row r="466" spans="1:14" s="90" customFormat="1">
      <c r="A466" s="468">
        <v>5</v>
      </c>
      <c r="B466" s="468">
        <v>41</v>
      </c>
      <c r="C466" s="468">
        <v>3</v>
      </c>
      <c r="D466" s="468">
        <v>0</v>
      </c>
      <c r="F466">
        <v>417</v>
      </c>
      <c r="G466">
        <v>6.3665538889768607</v>
      </c>
      <c r="H466">
        <v>-0.3665538889768607</v>
      </c>
      <c r="I466">
        <v>-0.54727849078865198</v>
      </c>
      <c r="J466"/>
      <c r="K466">
        <v>83.3</v>
      </c>
      <c r="L466">
        <v>7</v>
      </c>
      <c r="M466"/>
      <c r="N466"/>
    </row>
    <row r="467" spans="1:14" s="90" customFormat="1">
      <c r="A467" s="468">
        <v>5</v>
      </c>
      <c r="B467" s="468">
        <v>42</v>
      </c>
      <c r="C467" s="468">
        <v>3</v>
      </c>
      <c r="D467" s="468">
        <v>0</v>
      </c>
      <c r="F467">
        <v>418</v>
      </c>
      <c r="G467">
        <v>4.45948740947619</v>
      </c>
      <c r="H467">
        <v>-0.45948740947619005</v>
      </c>
      <c r="I467">
        <v>-0.68603166834874574</v>
      </c>
      <c r="J467"/>
      <c r="K467">
        <v>83.5</v>
      </c>
      <c r="L467">
        <v>7</v>
      </c>
      <c r="M467"/>
      <c r="N467"/>
    </row>
    <row r="468" spans="1:14" s="90" customFormat="1">
      <c r="A468" s="468">
        <v>3</v>
      </c>
      <c r="B468" s="468">
        <v>83</v>
      </c>
      <c r="C468" s="468">
        <v>0</v>
      </c>
      <c r="D468" s="468">
        <v>0</v>
      </c>
      <c r="F468">
        <v>419</v>
      </c>
      <c r="G468">
        <v>4.4465411478872703</v>
      </c>
      <c r="H468">
        <v>-0.44654114788727028</v>
      </c>
      <c r="I468">
        <v>-0.6667024217718901</v>
      </c>
      <c r="J468"/>
      <c r="K468">
        <v>83.7</v>
      </c>
      <c r="L468">
        <v>7</v>
      </c>
      <c r="M468"/>
      <c r="N468"/>
    </row>
    <row r="469" spans="1:14" s="90" customFormat="1">
      <c r="A469" s="468">
        <v>5</v>
      </c>
      <c r="B469" s="468">
        <v>55</v>
      </c>
      <c r="C469" s="468">
        <v>3</v>
      </c>
      <c r="D469" s="468">
        <v>0</v>
      </c>
      <c r="F469">
        <v>420</v>
      </c>
      <c r="G469">
        <v>5.5444901329137668</v>
      </c>
      <c r="H469">
        <v>-0.5444901329137668</v>
      </c>
      <c r="I469">
        <v>-0.8129438730608306</v>
      </c>
      <c r="J469"/>
      <c r="K469">
        <v>83.9</v>
      </c>
      <c r="L469">
        <v>7</v>
      </c>
      <c r="M469"/>
      <c r="N469"/>
    </row>
    <row r="470" spans="1:14" s="90" customFormat="1">
      <c r="A470" s="468">
        <v>5</v>
      </c>
      <c r="B470" s="468">
        <v>61</v>
      </c>
      <c r="C470" s="468">
        <v>3</v>
      </c>
      <c r="D470" s="468">
        <v>0</v>
      </c>
      <c r="F470">
        <v>421</v>
      </c>
      <c r="G470">
        <v>6.3874670807743472</v>
      </c>
      <c r="H470">
        <v>-0.38746708077434722</v>
      </c>
      <c r="I470">
        <v>-0.57850265833588144</v>
      </c>
      <c r="J470"/>
      <c r="K470">
        <v>84.1</v>
      </c>
      <c r="L470">
        <v>7</v>
      </c>
      <c r="M470"/>
      <c r="N470"/>
    </row>
    <row r="471" spans="1:14" s="90" customFormat="1">
      <c r="A471" s="468">
        <v>6</v>
      </c>
      <c r="B471" s="468">
        <v>84</v>
      </c>
      <c r="C471" s="468">
        <v>4</v>
      </c>
      <c r="D471" s="468">
        <v>1</v>
      </c>
      <c r="F471">
        <v>422</v>
      </c>
      <c r="G471">
        <v>6.1329929767464639</v>
      </c>
      <c r="H471">
        <v>0.86700702325353607</v>
      </c>
      <c r="I471">
        <v>1.2944734988729316</v>
      </c>
      <c r="J471"/>
      <c r="K471">
        <v>84.3</v>
      </c>
      <c r="L471">
        <v>7</v>
      </c>
      <c r="M471"/>
      <c r="N471"/>
    </row>
    <row r="472" spans="1:14" s="90" customFormat="1">
      <c r="A472" s="468">
        <v>5</v>
      </c>
      <c r="B472" s="468">
        <v>35</v>
      </c>
      <c r="C472" s="468">
        <v>3</v>
      </c>
      <c r="D472" s="468">
        <v>0</v>
      </c>
      <c r="F472">
        <v>423</v>
      </c>
      <c r="G472">
        <v>5.5365232027052009</v>
      </c>
      <c r="H472">
        <v>-0.53652320270520093</v>
      </c>
      <c r="I472">
        <v>-0.80104895209045812</v>
      </c>
      <c r="J472"/>
      <c r="K472">
        <v>84.5</v>
      </c>
      <c r="L472">
        <v>7</v>
      </c>
      <c r="M472"/>
      <c r="N472"/>
    </row>
    <row r="473" spans="1:14" s="90" customFormat="1">
      <c r="A473" s="468">
        <v>7</v>
      </c>
      <c r="B473" s="468">
        <v>75</v>
      </c>
      <c r="C473" s="468">
        <v>4</v>
      </c>
      <c r="D473" s="468">
        <v>0</v>
      </c>
      <c r="F473">
        <v>424</v>
      </c>
      <c r="G473">
        <v>6.3859732813602408</v>
      </c>
      <c r="H473">
        <v>-0.38597328136024078</v>
      </c>
      <c r="I473">
        <v>-0.57627236065393617</v>
      </c>
      <c r="J473"/>
      <c r="K473">
        <v>84.7</v>
      </c>
      <c r="L473">
        <v>7</v>
      </c>
      <c r="M473"/>
      <c r="N473"/>
    </row>
    <row r="474" spans="1:14" s="90" customFormat="1">
      <c r="A474" s="468">
        <v>5</v>
      </c>
      <c r="B474" s="468">
        <v>49</v>
      </c>
      <c r="C474" s="468">
        <v>3</v>
      </c>
      <c r="D474" s="468">
        <v>0</v>
      </c>
      <c r="F474">
        <v>425</v>
      </c>
      <c r="G474">
        <v>4.4435535490590574</v>
      </c>
      <c r="H474">
        <v>-0.44355354905905742</v>
      </c>
      <c r="I474">
        <v>-0.66224182640799945</v>
      </c>
      <c r="J474"/>
      <c r="K474">
        <v>84.9</v>
      </c>
      <c r="L474">
        <v>7</v>
      </c>
      <c r="M474"/>
      <c r="N474"/>
    </row>
    <row r="475" spans="1:14" s="90" customFormat="1">
      <c r="A475" s="468">
        <v>5</v>
      </c>
      <c r="B475" s="468">
        <v>37</v>
      </c>
      <c r="C475" s="468">
        <v>3</v>
      </c>
      <c r="D475" s="468">
        <v>0</v>
      </c>
      <c r="F475">
        <v>426</v>
      </c>
      <c r="G475">
        <v>6.397425743535055</v>
      </c>
      <c r="H475">
        <v>0.602574256464945</v>
      </c>
      <c r="I475">
        <v>0.89966561420672009</v>
      </c>
      <c r="J475"/>
      <c r="K475">
        <v>85.1</v>
      </c>
      <c r="L475">
        <v>7</v>
      </c>
      <c r="M475"/>
      <c r="N475"/>
    </row>
    <row r="476" spans="1:14" s="90" customFormat="1">
      <c r="A476" s="468">
        <v>6</v>
      </c>
      <c r="B476" s="468">
        <v>52</v>
      </c>
      <c r="C476" s="468">
        <v>4</v>
      </c>
      <c r="D476" s="468">
        <v>2</v>
      </c>
      <c r="F476">
        <v>427</v>
      </c>
      <c r="G476">
        <v>4.4520184124056588</v>
      </c>
      <c r="H476">
        <v>-0.45201841240565876</v>
      </c>
      <c r="I476">
        <v>-0.67488017993902039</v>
      </c>
      <c r="J476"/>
      <c r="K476">
        <v>85.3</v>
      </c>
      <c r="L476">
        <v>7</v>
      </c>
      <c r="M476"/>
      <c r="N476"/>
    </row>
    <row r="477" spans="1:14" s="90" customFormat="1">
      <c r="A477" s="468">
        <v>8</v>
      </c>
      <c r="B477" s="468">
        <v>73</v>
      </c>
      <c r="C477" s="468">
        <v>4</v>
      </c>
      <c r="D477" s="468">
        <v>0</v>
      </c>
      <c r="F477">
        <v>428</v>
      </c>
      <c r="G477">
        <v>6.1384702412648542</v>
      </c>
      <c r="H477">
        <v>0.86152975873514581</v>
      </c>
      <c r="I477">
        <v>1.2862957407057987</v>
      </c>
      <c r="J477"/>
      <c r="K477">
        <v>85.5</v>
      </c>
      <c r="L477">
        <v>7</v>
      </c>
      <c r="M477"/>
      <c r="N477"/>
    </row>
    <row r="478" spans="1:14" s="90" customFormat="1">
      <c r="A478" s="468">
        <v>6</v>
      </c>
      <c r="B478" s="468">
        <v>45</v>
      </c>
      <c r="C478" s="468">
        <v>4</v>
      </c>
      <c r="D478" s="468">
        <v>1</v>
      </c>
      <c r="F478">
        <v>429</v>
      </c>
      <c r="G478">
        <v>6.1319971104703939</v>
      </c>
      <c r="H478">
        <v>0.86800288952960614</v>
      </c>
      <c r="I478">
        <v>1.2959603639942272</v>
      </c>
      <c r="J478"/>
      <c r="K478">
        <v>85.7</v>
      </c>
      <c r="L478">
        <v>7</v>
      </c>
      <c r="M478"/>
      <c r="N478"/>
    </row>
    <row r="479" spans="1:14" s="90" customFormat="1">
      <c r="A479" s="468">
        <v>5</v>
      </c>
      <c r="B479" s="468">
        <v>22</v>
      </c>
      <c r="C479" s="468">
        <v>3</v>
      </c>
      <c r="D479" s="468">
        <v>0</v>
      </c>
      <c r="F479">
        <v>430</v>
      </c>
      <c r="G479">
        <v>5.5235769411162812</v>
      </c>
      <c r="H479">
        <v>-0.52357694111628117</v>
      </c>
      <c r="I479">
        <v>-0.78171970551360248</v>
      </c>
      <c r="J479"/>
      <c r="K479">
        <v>85.9</v>
      </c>
      <c r="L479">
        <v>7</v>
      </c>
      <c r="M479"/>
      <c r="N479"/>
    </row>
    <row r="480" spans="1:14" s="90" customFormat="1">
      <c r="A480" s="468">
        <v>7</v>
      </c>
      <c r="B480" s="468">
        <v>47</v>
      </c>
      <c r="C480" s="468">
        <v>4</v>
      </c>
      <c r="D480" s="468">
        <v>1</v>
      </c>
      <c r="F480">
        <v>431</v>
      </c>
      <c r="G480">
        <v>6.6140569290722482</v>
      </c>
      <c r="H480">
        <v>1.3859430709277518</v>
      </c>
      <c r="I480">
        <v>2.0692641791183153</v>
      </c>
      <c r="J480"/>
      <c r="K480">
        <v>86.1</v>
      </c>
      <c r="L480">
        <v>7</v>
      </c>
      <c r="M480"/>
      <c r="N480"/>
    </row>
    <row r="481" spans="1:14" s="90" customFormat="1">
      <c r="A481" s="468">
        <v>4</v>
      </c>
      <c r="B481" s="468">
        <v>44</v>
      </c>
      <c r="C481" s="468">
        <v>2</v>
      </c>
      <c r="D481" s="468">
        <v>0</v>
      </c>
      <c r="F481">
        <v>432</v>
      </c>
      <c r="G481">
        <v>5.5255686736684222</v>
      </c>
      <c r="H481">
        <v>-0.52556867366842219</v>
      </c>
      <c r="I481">
        <v>-0.78469343575619499</v>
      </c>
      <c r="J481"/>
      <c r="K481">
        <v>86.3</v>
      </c>
      <c r="L481">
        <v>7</v>
      </c>
      <c r="M481"/>
      <c r="N481"/>
    </row>
    <row r="482" spans="1:14" s="90" customFormat="1">
      <c r="A482" s="468">
        <v>8</v>
      </c>
      <c r="B482" s="468">
        <v>39</v>
      </c>
      <c r="C482" s="468">
        <v>4</v>
      </c>
      <c r="D482" s="468">
        <v>0</v>
      </c>
      <c r="F482">
        <v>433</v>
      </c>
      <c r="G482">
        <v>6.3630683570106132</v>
      </c>
      <c r="H482">
        <v>0.63693164298938676</v>
      </c>
      <c r="I482">
        <v>0.95096246089145353</v>
      </c>
      <c r="J482"/>
      <c r="K482">
        <v>86.5</v>
      </c>
      <c r="L482">
        <v>7</v>
      </c>
      <c r="M482"/>
      <c r="N482"/>
    </row>
    <row r="483" spans="1:14" s="90" customFormat="1">
      <c r="A483" s="468">
        <v>9</v>
      </c>
      <c r="B483" s="468">
        <v>56</v>
      </c>
      <c r="C483" s="468">
        <v>5</v>
      </c>
      <c r="D483" s="468">
        <v>0</v>
      </c>
      <c r="F483">
        <v>434</v>
      </c>
      <c r="G483">
        <v>6.4068864731577273</v>
      </c>
      <c r="H483">
        <v>-0.4068864731577273</v>
      </c>
      <c r="I483">
        <v>-0.60749652820116562</v>
      </c>
      <c r="J483"/>
      <c r="K483">
        <v>86.7</v>
      </c>
      <c r="L483">
        <v>7</v>
      </c>
      <c r="M483"/>
      <c r="N483"/>
    </row>
    <row r="484" spans="1:14" s="90" customFormat="1">
      <c r="A484" s="468">
        <v>5</v>
      </c>
      <c r="B484" s="468">
        <v>34</v>
      </c>
      <c r="C484" s="468">
        <v>3</v>
      </c>
      <c r="D484" s="468">
        <v>1</v>
      </c>
      <c r="F484">
        <v>435</v>
      </c>
      <c r="G484">
        <v>6.4088782057098692</v>
      </c>
      <c r="H484">
        <v>-0.40887820570986921</v>
      </c>
      <c r="I484">
        <v>-0.61047025844375935</v>
      </c>
      <c r="J484"/>
      <c r="K484">
        <v>86.9</v>
      </c>
      <c r="L484">
        <v>7</v>
      </c>
      <c r="M484"/>
      <c r="N484"/>
    </row>
    <row r="485" spans="1:14" s="90" customFormat="1">
      <c r="A485" s="468">
        <v>4</v>
      </c>
      <c r="B485" s="468">
        <v>57</v>
      </c>
      <c r="C485" s="468">
        <v>2</v>
      </c>
      <c r="D485" s="468">
        <v>0</v>
      </c>
      <c r="F485">
        <v>436</v>
      </c>
      <c r="G485">
        <v>5.5464818654659087</v>
      </c>
      <c r="H485">
        <v>-0.54648186546590871</v>
      </c>
      <c r="I485">
        <v>-0.81591760330342444</v>
      </c>
      <c r="J485"/>
      <c r="K485">
        <v>87.1</v>
      </c>
      <c r="L485">
        <v>7</v>
      </c>
      <c r="M485"/>
      <c r="N485"/>
    </row>
    <row r="486" spans="1:14" s="90" customFormat="1">
      <c r="A486" s="468">
        <v>9</v>
      </c>
      <c r="B486" s="468">
        <v>51</v>
      </c>
      <c r="C486" s="468">
        <v>5</v>
      </c>
      <c r="D486" s="468">
        <v>0</v>
      </c>
      <c r="F486">
        <v>437</v>
      </c>
      <c r="G486">
        <v>5.5270624730825286</v>
      </c>
      <c r="H486">
        <v>-0.52706247308252863</v>
      </c>
      <c r="I486">
        <v>-0.78692373343814026</v>
      </c>
      <c r="J486"/>
      <c r="K486">
        <v>87.3</v>
      </c>
      <c r="L486">
        <v>7</v>
      </c>
      <c r="M486"/>
      <c r="N486"/>
    </row>
    <row r="487" spans="1:14" s="90" customFormat="1">
      <c r="A487" s="468">
        <v>8</v>
      </c>
      <c r="B487" s="468">
        <v>44</v>
      </c>
      <c r="C487" s="468">
        <v>4</v>
      </c>
      <c r="D487" s="468">
        <v>0</v>
      </c>
      <c r="F487">
        <v>438</v>
      </c>
      <c r="G487">
        <v>5.533535603876989</v>
      </c>
      <c r="H487">
        <v>-0.53353560387698895</v>
      </c>
      <c r="I487">
        <v>-0.7965883567265688</v>
      </c>
      <c r="J487"/>
      <c r="K487">
        <v>87.5</v>
      </c>
      <c r="L487">
        <v>7</v>
      </c>
      <c r="M487"/>
      <c r="N487"/>
    </row>
    <row r="488" spans="1:14" s="90" customFormat="1">
      <c r="A488" s="468">
        <v>6</v>
      </c>
      <c r="B488" s="468">
        <v>30</v>
      </c>
      <c r="C488" s="468">
        <v>4</v>
      </c>
      <c r="D488" s="468">
        <v>1</v>
      </c>
      <c r="F488">
        <v>439</v>
      </c>
      <c r="G488">
        <v>4.4316031537462077</v>
      </c>
      <c r="H488">
        <v>-0.43160315374620772</v>
      </c>
      <c r="I488">
        <v>-0.64439944495243939</v>
      </c>
      <c r="J488"/>
      <c r="K488">
        <v>87.7</v>
      </c>
      <c r="L488">
        <v>7</v>
      </c>
      <c r="M488"/>
      <c r="N488"/>
    </row>
    <row r="489" spans="1:14" s="90" customFormat="1">
      <c r="A489" s="468">
        <v>7</v>
      </c>
      <c r="B489" s="468">
        <v>32</v>
      </c>
      <c r="C489" s="468">
        <v>4</v>
      </c>
      <c r="D489" s="468">
        <v>1</v>
      </c>
      <c r="F489">
        <v>440</v>
      </c>
      <c r="G489">
        <v>5.530548005048777</v>
      </c>
      <c r="H489">
        <v>-0.53054800504877697</v>
      </c>
      <c r="I489">
        <v>-0.79212776136267948</v>
      </c>
      <c r="J489"/>
      <c r="K489">
        <v>87.9</v>
      </c>
      <c r="L489">
        <v>7</v>
      </c>
      <c r="M489"/>
      <c r="N489"/>
    </row>
    <row r="490" spans="1:14" s="90" customFormat="1">
      <c r="A490" s="468">
        <v>7</v>
      </c>
      <c r="B490" s="468">
        <v>73</v>
      </c>
      <c r="C490" s="468">
        <v>4</v>
      </c>
      <c r="D490" s="468">
        <v>1</v>
      </c>
      <c r="F490">
        <v>441</v>
      </c>
      <c r="G490">
        <v>6.6419411848022296</v>
      </c>
      <c r="H490">
        <v>-0.64194118480222961</v>
      </c>
      <c r="I490">
        <v>-0.95844189178912531</v>
      </c>
      <c r="J490"/>
      <c r="K490">
        <v>88.1</v>
      </c>
      <c r="L490">
        <v>7</v>
      </c>
      <c r="M490"/>
      <c r="N490"/>
    </row>
    <row r="491" spans="1:14" s="90" customFormat="1">
      <c r="A491" s="468">
        <v>3</v>
      </c>
      <c r="B491" s="468">
        <v>82</v>
      </c>
      <c r="C491" s="468">
        <v>0</v>
      </c>
      <c r="D491" s="468">
        <v>0</v>
      </c>
      <c r="F491">
        <v>442</v>
      </c>
      <c r="G491">
        <v>6.1384702412648542</v>
      </c>
      <c r="H491">
        <v>-0.13847024126485419</v>
      </c>
      <c r="I491">
        <v>-0.20674118304976918</v>
      </c>
      <c r="J491"/>
      <c r="K491">
        <v>88.3</v>
      </c>
      <c r="L491">
        <v>7</v>
      </c>
      <c r="M491"/>
      <c r="N491"/>
    </row>
    <row r="492" spans="1:14" s="90" customFormat="1">
      <c r="A492" s="468">
        <v>7</v>
      </c>
      <c r="B492" s="468">
        <v>83</v>
      </c>
      <c r="C492" s="468">
        <v>4</v>
      </c>
      <c r="D492" s="468">
        <v>1</v>
      </c>
      <c r="F492">
        <v>443</v>
      </c>
      <c r="G492">
        <v>5.2900160288858853</v>
      </c>
      <c r="H492">
        <v>-0.29001602888588529</v>
      </c>
      <c r="I492">
        <v>-0.43300463960758806</v>
      </c>
      <c r="J492"/>
      <c r="K492">
        <v>88.5</v>
      </c>
      <c r="L492">
        <v>7</v>
      </c>
      <c r="M492"/>
      <c r="N492"/>
    </row>
    <row r="493" spans="1:14" s="90" customFormat="1">
      <c r="A493" s="468">
        <v>5</v>
      </c>
      <c r="B493" s="468">
        <v>46</v>
      </c>
      <c r="C493" s="468">
        <v>3</v>
      </c>
      <c r="D493" s="468">
        <v>1</v>
      </c>
      <c r="F493">
        <v>444</v>
      </c>
      <c r="G493">
        <v>4.4480349473013758</v>
      </c>
      <c r="H493">
        <v>-0.44803494730137583</v>
      </c>
      <c r="I493">
        <v>-0.66893271945383415</v>
      </c>
      <c r="J493"/>
      <c r="K493">
        <v>88.7</v>
      </c>
      <c r="L493">
        <v>7</v>
      </c>
      <c r="M493"/>
      <c r="N493"/>
    </row>
    <row r="494" spans="1:14" s="90" customFormat="1">
      <c r="A494" s="468">
        <v>5</v>
      </c>
      <c r="B494" s="468">
        <v>25</v>
      </c>
      <c r="C494" s="468">
        <v>3</v>
      </c>
      <c r="D494" s="468">
        <v>0</v>
      </c>
      <c r="F494">
        <v>445</v>
      </c>
      <c r="G494">
        <v>6.6125631296581417</v>
      </c>
      <c r="H494">
        <v>1.3874368703418583</v>
      </c>
      <c r="I494">
        <v>2.0714944768002606</v>
      </c>
      <c r="J494"/>
      <c r="K494">
        <v>88.9</v>
      </c>
      <c r="L494">
        <v>7</v>
      </c>
      <c r="M494"/>
      <c r="N494"/>
    </row>
    <row r="495" spans="1:14" s="90" customFormat="1">
      <c r="A495" s="468">
        <v>3</v>
      </c>
      <c r="B495" s="468">
        <v>48</v>
      </c>
      <c r="C495" s="468">
        <v>0</v>
      </c>
      <c r="D495" s="468">
        <v>0</v>
      </c>
      <c r="F495">
        <v>446</v>
      </c>
      <c r="G495">
        <v>5.3094354212692654</v>
      </c>
      <c r="H495">
        <v>-0.30943542126926538</v>
      </c>
      <c r="I495">
        <v>-0.46199850947287219</v>
      </c>
      <c r="J495"/>
      <c r="K495">
        <v>89.1</v>
      </c>
      <c r="L495">
        <v>7</v>
      </c>
      <c r="M495"/>
      <c r="N495"/>
    </row>
    <row r="496" spans="1:14" s="90" customFormat="1">
      <c r="A496" s="468">
        <v>4</v>
      </c>
      <c r="B496" s="468">
        <v>37</v>
      </c>
      <c r="C496" s="468">
        <v>2</v>
      </c>
      <c r="D496" s="468">
        <v>0</v>
      </c>
      <c r="F496">
        <v>447</v>
      </c>
      <c r="G496">
        <v>4.4475370141633412</v>
      </c>
      <c r="H496">
        <v>-0.44753701416334124</v>
      </c>
      <c r="I496">
        <v>-0.66818928689318702</v>
      </c>
      <c r="J496"/>
      <c r="K496">
        <v>89.3</v>
      </c>
      <c r="L496">
        <v>7</v>
      </c>
      <c r="M496"/>
      <c r="N496"/>
    </row>
    <row r="497" spans="1:14" s="90" customFormat="1">
      <c r="A497" s="468">
        <v>5</v>
      </c>
      <c r="B497" s="468">
        <v>33</v>
      </c>
      <c r="C497" s="468">
        <v>3</v>
      </c>
      <c r="D497" s="468">
        <v>1</v>
      </c>
      <c r="F497">
        <v>448</v>
      </c>
      <c r="G497">
        <v>5.2800573661251775</v>
      </c>
      <c r="H497">
        <v>-0.28005736612517751</v>
      </c>
      <c r="I497">
        <v>-0.41813598839462179</v>
      </c>
      <c r="J497"/>
      <c r="K497">
        <v>89.5</v>
      </c>
      <c r="L497">
        <v>7</v>
      </c>
      <c r="M497"/>
      <c r="N497"/>
    </row>
    <row r="498" spans="1:14" s="90" customFormat="1">
      <c r="A498" s="468">
        <v>6</v>
      </c>
      <c r="B498" s="468">
        <v>61</v>
      </c>
      <c r="C498" s="468">
        <v>4</v>
      </c>
      <c r="D498" s="468">
        <v>2</v>
      </c>
      <c r="F498">
        <v>449</v>
      </c>
      <c r="G498">
        <v>6.6299907894893799</v>
      </c>
      <c r="H498">
        <v>1.3700092105106201</v>
      </c>
      <c r="I498">
        <v>2.0454743371775703</v>
      </c>
      <c r="J498"/>
      <c r="K498">
        <v>89.7</v>
      </c>
      <c r="L498">
        <v>7</v>
      </c>
      <c r="M498"/>
      <c r="N498"/>
    </row>
    <row r="499" spans="1:14" s="90" customFormat="1">
      <c r="A499" s="468">
        <v>4</v>
      </c>
      <c r="B499" s="468">
        <v>48</v>
      </c>
      <c r="C499" s="468">
        <v>2</v>
      </c>
      <c r="D499" s="468">
        <v>0</v>
      </c>
      <c r="F499">
        <v>450</v>
      </c>
      <c r="G499">
        <v>5.5180996765978918</v>
      </c>
      <c r="H499">
        <v>-0.5180996765978918</v>
      </c>
      <c r="I499">
        <v>-0.77354194734647097</v>
      </c>
      <c r="J499"/>
      <c r="K499">
        <v>89.9</v>
      </c>
      <c r="L499">
        <v>7</v>
      </c>
      <c r="M499"/>
      <c r="N499"/>
    </row>
    <row r="500" spans="1:14" s="90" customFormat="1">
      <c r="A500" s="468">
        <v>4</v>
      </c>
      <c r="B500" s="468">
        <v>135</v>
      </c>
      <c r="C500" s="468">
        <v>2</v>
      </c>
      <c r="D500" s="468">
        <v>0</v>
      </c>
      <c r="F500">
        <v>451</v>
      </c>
      <c r="G500">
        <v>6.3904546796025601</v>
      </c>
      <c r="H500">
        <v>-0.39045467960256008</v>
      </c>
      <c r="I500">
        <v>-0.5829632536997722</v>
      </c>
      <c r="J500"/>
      <c r="K500">
        <v>90.1</v>
      </c>
      <c r="L500">
        <v>7</v>
      </c>
      <c r="M500"/>
      <c r="N500"/>
    </row>
    <row r="501" spans="1:14" s="90" customFormat="1">
      <c r="A501" s="468">
        <v>5</v>
      </c>
      <c r="B501" s="468">
        <v>72</v>
      </c>
      <c r="C501" s="468">
        <v>3</v>
      </c>
      <c r="D501" s="468">
        <v>1</v>
      </c>
      <c r="F501">
        <v>452</v>
      </c>
      <c r="G501">
        <v>5.5589301939167939</v>
      </c>
      <c r="H501">
        <v>-0.55893019391679388</v>
      </c>
      <c r="I501">
        <v>-0.83450341731963296</v>
      </c>
      <c r="J501"/>
      <c r="K501">
        <v>90.3</v>
      </c>
      <c r="L501">
        <v>7</v>
      </c>
      <c r="M501"/>
      <c r="N501"/>
    </row>
    <row r="502" spans="1:14" s="90" customFormat="1">
      <c r="A502" s="468">
        <v>6</v>
      </c>
      <c r="B502" s="468">
        <v>32</v>
      </c>
      <c r="C502" s="468">
        <v>4</v>
      </c>
      <c r="D502" s="468">
        <v>1</v>
      </c>
      <c r="F502">
        <v>453</v>
      </c>
      <c r="G502">
        <v>2.2700625702176551</v>
      </c>
      <c r="H502">
        <v>0.72993742978234488</v>
      </c>
      <c r="I502">
        <v>1.0898235346962779</v>
      </c>
      <c r="J502"/>
      <c r="K502">
        <v>90.5</v>
      </c>
      <c r="L502">
        <v>7</v>
      </c>
      <c r="M502"/>
      <c r="N502"/>
    </row>
    <row r="503" spans="1:14" s="90" customFormat="1">
      <c r="A503" s="468">
        <v>7</v>
      </c>
      <c r="B503" s="468">
        <v>76</v>
      </c>
      <c r="C503" s="468">
        <v>4</v>
      </c>
      <c r="D503" s="468">
        <v>1</v>
      </c>
      <c r="F503">
        <v>454</v>
      </c>
      <c r="G503">
        <v>6.3610766244584722</v>
      </c>
      <c r="H503">
        <v>-0.36107662445847222</v>
      </c>
      <c r="I503">
        <v>-0.53910073262152181</v>
      </c>
      <c r="J503"/>
      <c r="K503">
        <v>90.7</v>
      </c>
      <c r="L503">
        <v>7</v>
      </c>
      <c r="M503"/>
      <c r="N503"/>
    </row>
    <row r="504" spans="1:14">
      <c r="F504">
        <v>455</v>
      </c>
      <c r="G504">
        <v>4.4550060112338716</v>
      </c>
      <c r="H504">
        <v>-0.45500601123387163</v>
      </c>
      <c r="I504">
        <v>-0.67934077530291104</v>
      </c>
      <c r="J504"/>
      <c r="K504">
        <v>90.9</v>
      </c>
      <c r="L504">
        <v>7</v>
      </c>
      <c r="M504"/>
      <c r="N504"/>
    </row>
    <row r="505" spans="1:14">
      <c r="F505">
        <v>456</v>
      </c>
      <c r="G505">
        <v>6.1235322471237916</v>
      </c>
      <c r="H505">
        <v>-0.12353224712379163</v>
      </c>
      <c r="I505">
        <v>-0.18443820623031845</v>
      </c>
      <c r="J505"/>
      <c r="K505">
        <v>91.1</v>
      </c>
      <c r="L505">
        <v>7</v>
      </c>
      <c r="M505"/>
      <c r="N505"/>
    </row>
    <row r="506" spans="1:14">
      <c r="F506">
        <v>457</v>
      </c>
      <c r="G506">
        <v>6.3864712144982763</v>
      </c>
      <c r="H506">
        <v>-0.38647121449827626</v>
      </c>
      <c r="I506">
        <v>-0.57701579321458463</v>
      </c>
      <c r="J506"/>
      <c r="K506">
        <v>91.3</v>
      </c>
      <c r="L506">
        <v>7</v>
      </c>
      <c r="M506"/>
      <c r="N506"/>
    </row>
    <row r="507" spans="1:14">
      <c r="F507">
        <v>458</v>
      </c>
      <c r="G507">
        <v>4.45948740947619</v>
      </c>
      <c r="H507">
        <v>-0.45948740947619005</v>
      </c>
      <c r="I507">
        <v>-0.68603166834874574</v>
      </c>
      <c r="J507"/>
      <c r="K507">
        <v>91.5</v>
      </c>
      <c r="L507">
        <v>7</v>
      </c>
      <c r="M507"/>
      <c r="N507"/>
    </row>
    <row r="508" spans="1:14">
      <c r="F508">
        <v>459</v>
      </c>
      <c r="G508">
        <v>6.6379577196979458</v>
      </c>
      <c r="H508">
        <v>0.36204228030205421</v>
      </c>
      <c r="I508">
        <v>0.54054249245163</v>
      </c>
      <c r="J508"/>
      <c r="K508">
        <v>91.7</v>
      </c>
      <c r="L508">
        <v>8</v>
      </c>
      <c r="M508"/>
      <c r="N508"/>
    </row>
    <row r="509" spans="1:14">
      <c r="F509">
        <v>460</v>
      </c>
      <c r="G509">
        <v>6.147433037749491</v>
      </c>
      <c r="H509">
        <v>-0.14743303774949101</v>
      </c>
      <c r="I509">
        <v>-0.22012296914143856</v>
      </c>
      <c r="J509"/>
      <c r="K509">
        <v>91.9</v>
      </c>
      <c r="L509">
        <v>8</v>
      </c>
      <c r="M509"/>
      <c r="N509"/>
    </row>
    <row r="510" spans="1:14">
      <c r="F510">
        <v>461</v>
      </c>
      <c r="G510">
        <v>7.7199728443073123</v>
      </c>
      <c r="H510">
        <v>2.2800271556926877</v>
      </c>
      <c r="I510">
        <v>3.4041647306145673</v>
      </c>
      <c r="J510"/>
      <c r="K510">
        <v>92.1</v>
      </c>
      <c r="L510">
        <v>8</v>
      </c>
      <c r="M510"/>
      <c r="N510"/>
    </row>
    <row r="511" spans="1:14">
      <c r="F511">
        <v>462</v>
      </c>
      <c r="G511">
        <v>5.5275604062205641</v>
      </c>
      <c r="H511">
        <v>-0.5275604062205641</v>
      </c>
      <c r="I511">
        <v>-0.78766716599878872</v>
      </c>
      <c r="J511"/>
      <c r="K511">
        <v>92.3</v>
      </c>
      <c r="L511">
        <v>8</v>
      </c>
      <c r="M511"/>
      <c r="N511"/>
    </row>
    <row r="512" spans="1:14">
      <c r="F512">
        <v>463</v>
      </c>
      <c r="G512">
        <v>5.530548005048777</v>
      </c>
      <c r="H512">
        <v>-0.53054800504877697</v>
      </c>
      <c r="I512">
        <v>-0.79212776136267948</v>
      </c>
      <c r="J512"/>
      <c r="K512">
        <v>92.5</v>
      </c>
      <c r="L512">
        <v>8</v>
      </c>
      <c r="M512"/>
      <c r="N512"/>
    </row>
    <row r="513" spans="6:14">
      <c r="F513">
        <v>464</v>
      </c>
      <c r="G513">
        <v>5.5310459381868124</v>
      </c>
      <c r="H513">
        <v>-0.53104593818681245</v>
      </c>
      <c r="I513">
        <v>-0.79287119392332783</v>
      </c>
      <c r="J513"/>
      <c r="K513">
        <v>92.7</v>
      </c>
      <c r="L513">
        <v>8</v>
      </c>
      <c r="M513"/>
      <c r="N513"/>
    </row>
    <row r="514" spans="6:14">
      <c r="F514">
        <v>465</v>
      </c>
      <c r="G514">
        <v>2.2934654277053181</v>
      </c>
      <c r="H514">
        <v>0.70653457229468186</v>
      </c>
      <c r="I514">
        <v>1.0548822043458077</v>
      </c>
      <c r="J514"/>
      <c r="K514">
        <v>92.9</v>
      </c>
      <c r="L514">
        <v>8</v>
      </c>
      <c r="M514"/>
      <c r="N514"/>
    </row>
    <row r="515" spans="6:14">
      <c r="F515">
        <v>466</v>
      </c>
      <c r="G515">
        <v>5.5375190689812719</v>
      </c>
      <c r="H515">
        <v>-0.53751906898127189</v>
      </c>
      <c r="I515">
        <v>-0.80253581721175504</v>
      </c>
      <c r="J515"/>
      <c r="K515">
        <v>93.1</v>
      </c>
      <c r="L515">
        <v>8</v>
      </c>
      <c r="M515"/>
      <c r="N515"/>
    </row>
    <row r="516" spans="6:14">
      <c r="F516">
        <v>467</v>
      </c>
      <c r="G516">
        <v>5.5405066678094848</v>
      </c>
      <c r="H516">
        <v>-0.54050666780948475</v>
      </c>
      <c r="I516">
        <v>-0.80699641257564569</v>
      </c>
      <c r="J516"/>
      <c r="K516">
        <v>93.3</v>
      </c>
      <c r="L516">
        <v>8</v>
      </c>
      <c r="M516"/>
      <c r="N516"/>
    </row>
    <row r="517" spans="6:14">
      <c r="F517">
        <v>468</v>
      </c>
      <c r="G517">
        <v>6.3954340109829131</v>
      </c>
      <c r="H517">
        <v>-0.39543401098291309</v>
      </c>
      <c r="I517">
        <v>-0.59039757930625403</v>
      </c>
      <c r="J517"/>
      <c r="K517">
        <v>93.5</v>
      </c>
      <c r="L517">
        <v>8</v>
      </c>
      <c r="M517"/>
      <c r="N517"/>
    </row>
    <row r="518" spans="6:14">
      <c r="F518">
        <v>469</v>
      </c>
      <c r="G518">
        <v>5.5275604062205641</v>
      </c>
      <c r="H518">
        <v>-0.5275604062205641</v>
      </c>
      <c r="I518">
        <v>-0.78766716599878872</v>
      </c>
      <c r="J518"/>
      <c r="K518">
        <v>93.7</v>
      </c>
      <c r="L518">
        <v>8</v>
      </c>
      <c r="M518"/>
      <c r="N518"/>
    </row>
    <row r="519" spans="6:14">
      <c r="F519">
        <v>470</v>
      </c>
      <c r="G519">
        <v>6.6334763214556283</v>
      </c>
      <c r="H519">
        <v>0.36652367854437173</v>
      </c>
      <c r="I519">
        <v>0.54723338549746336</v>
      </c>
      <c r="J519"/>
      <c r="K519">
        <v>93.9</v>
      </c>
      <c r="L519">
        <v>8</v>
      </c>
      <c r="M519"/>
      <c r="N519"/>
    </row>
    <row r="520" spans="6:14">
      <c r="F520">
        <v>471</v>
      </c>
      <c r="G520">
        <v>5.534531470153059</v>
      </c>
      <c r="H520">
        <v>-0.53453147015305902</v>
      </c>
      <c r="I520">
        <v>-0.79807522184786439</v>
      </c>
      <c r="J520"/>
      <c r="K520">
        <v>94.1</v>
      </c>
      <c r="L520">
        <v>8</v>
      </c>
      <c r="M520"/>
      <c r="N520"/>
    </row>
    <row r="521" spans="6:14">
      <c r="F521">
        <v>472</v>
      </c>
      <c r="G521">
        <v>5.5285562724966351</v>
      </c>
      <c r="H521">
        <v>-0.52855627249663506</v>
      </c>
      <c r="I521">
        <v>-0.78915403112008564</v>
      </c>
      <c r="J521"/>
      <c r="K521">
        <v>94.3</v>
      </c>
      <c r="L521">
        <v>8</v>
      </c>
      <c r="M521"/>
      <c r="N521"/>
    </row>
    <row r="522" spans="6:14">
      <c r="F522">
        <v>473</v>
      </c>
      <c r="G522">
        <v>6.1369764418507478</v>
      </c>
      <c r="H522">
        <v>-0.13697644185074775</v>
      </c>
      <c r="I522">
        <v>-0.20451088536782383</v>
      </c>
      <c r="J522"/>
      <c r="K522">
        <v>94.5</v>
      </c>
      <c r="L522">
        <v>8</v>
      </c>
      <c r="M522"/>
      <c r="N522"/>
    </row>
    <row r="523" spans="6:14">
      <c r="F523">
        <v>474</v>
      </c>
      <c r="G523">
        <v>6.6324804551795573</v>
      </c>
      <c r="H523">
        <v>1.3675195448204427</v>
      </c>
      <c r="I523">
        <v>2.0417571743743279</v>
      </c>
      <c r="J523"/>
      <c r="K523">
        <v>94.7</v>
      </c>
      <c r="L523">
        <v>8</v>
      </c>
      <c r="M523"/>
      <c r="N523"/>
    </row>
    <row r="524" spans="6:14">
      <c r="F524">
        <v>475</v>
      </c>
      <c r="G524">
        <v>6.376014618599533</v>
      </c>
      <c r="H524">
        <v>-0.376014618599533</v>
      </c>
      <c r="I524">
        <v>-0.56140370944096984</v>
      </c>
      <c r="J524"/>
      <c r="K524">
        <v>94.9</v>
      </c>
      <c r="L524">
        <v>8</v>
      </c>
      <c r="M524"/>
      <c r="N524"/>
    </row>
    <row r="525" spans="6:14">
      <c r="F525">
        <v>476</v>
      </c>
      <c r="G525">
        <v>5.5210872754261047</v>
      </c>
      <c r="H525">
        <v>-0.52108727542610467</v>
      </c>
      <c r="I525">
        <v>-0.77800254271036162</v>
      </c>
      <c r="J525"/>
      <c r="K525">
        <v>95.1</v>
      </c>
      <c r="L525">
        <v>8</v>
      </c>
      <c r="M525"/>
      <c r="N525"/>
    </row>
    <row r="526" spans="6:14">
      <c r="F526">
        <v>477</v>
      </c>
      <c r="G526">
        <v>6.377010484875604</v>
      </c>
      <c r="H526">
        <v>0.62298951512439604</v>
      </c>
      <c r="I526">
        <v>0.93014634919330108</v>
      </c>
      <c r="J526"/>
      <c r="K526">
        <v>95.3</v>
      </c>
      <c r="L526">
        <v>8</v>
      </c>
      <c r="M526"/>
      <c r="N526"/>
    </row>
    <row r="527" spans="6:14">
      <c r="F527">
        <v>478</v>
      </c>
      <c r="G527">
        <v>4.4460432147492348</v>
      </c>
      <c r="H527">
        <v>-0.44604321474923481</v>
      </c>
      <c r="I527">
        <v>-0.66595898921124164</v>
      </c>
      <c r="J527"/>
      <c r="K527">
        <v>95.5</v>
      </c>
      <c r="L527">
        <v>8</v>
      </c>
      <c r="M527"/>
      <c r="N527"/>
    </row>
    <row r="528" spans="6:14">
      <c r="F528">
        <v>479</v>
      </c>
      <c r="G528">
        <v>6.6155507284863537</v>
      </c>
      <c r="H528">
        <v>1.3844492715136463</v>
      </c>
      <c r="I528">
        <v>2.0670338814363713</v>
      </c>
      <c r="J528"/>
      <c r="K528">
        <v>95.7</v>
      </c>
      <c r="L528">
        <v>8</v>
      </c>
      <c r="M528"/>
      <c r="N528"/>
    </row>
    <row r="529" spans="6:14">
      <c r="F529">
        <v>480</v>
      </c>
      <c r="G529">
        <v>7.7100141815466046</v>
      </c>
      <c r="H529">
        <v>1.2899858184533954</v>
      </c>
      <c r="I529">
        <v>1.925996458071966</v>
      </c>
      <c r="J529"/>
      <c r="K529">
        <v>95.9</v>
      </c>
      <c r="L529">
        <v>8</v>
      </c>
      <c r="M529"/>
      <c r="N529"/>
    </row>
    <row r="530" spans="6:14">
      <c r="F530">
        <v>481</v>
      </c>
      <c r="G530">
        <v>5.2845387643674959</v>
      </c>
      <c r="H530">
        <v>-0.28453876436749592</v>
      </c>
      <c r="I530">
        <v>-0.42482688144045649</v>
      </c>
      <c r="J530"/>
      <c r="K530">
        <v>96.1</v>
      </c>
      <c r="L530">
        <v>8</v>
      </c>
      <c r="M530"/>
      <c r="N530"/>
    </row>
    <row r="531" spans="6:14">
      <c r="F531">
        <v>482</v>
      </c>
      <c r="G531">
        <v>4.4525163455436942</v>
      </c>
      <c r="H531">
        <v>-0.45251634554369424</v>
      </c>
      <c r="I531">
        <v>-0.67562361249966885</v>
      </c>
      <c r="J531"/>
      <c r="K531">
        <v>96.3</v>
      </c>
      <c r="L531">
        <v>8</v>
      </c>
      <c r="M531"/>
      <c r="N531"/>
    </row>
    <row r="532" spans="6:14">
      <c r="F532">
        <v>483</v>
      </c>
      <c r="G532">
        <v>7.7075245158564272</v>
      </c>
      <c r="H532">
        <v>1.2924754841435728</v>
      </c>
      <c r="I532">
        <v>1.9297136208752081</v>
      </c>
      <c r="J532"/>
      <c r="K532">
        <v>96.5</v>
      </c>
      <c r="L532">
        <v>8</v>
      </c>
      <c r="M532"/>
      <c r="N532"/>
    </row>
    <row r="533" spans="6:14">
      <c r="F533">
        <v>484</v>
      </c>
      <c r="G533">
        <v>6.6180403941765302</v>
      </c>
      <c r="H533">
        <v>1.3819596058234698</v>
      </c>
      <c r="I533">
        <v>2.0633167186331303</v>
      </c>
      <c r="J533"/>
      <c r="K533">
        <v>96.7</v>
      </c>
      <c r="L533">
        <v>8</v>
      </c>
      <c r="M533"/>
      <c r="N533"/>
    </row>
    <row r="534" spans="6:14">
      <c r="F534">
        <v>485</v>
      </c>
      <c r="G534">
        <v>6.3685456215290026</v>
      </c>
      <c r="H534">
        <v>-0.36854562152900261</v>
      </c>
      <c r="I534">
        <v>-0.55025222103124583</v>
      </c>
      <c r="J534"/>
      <c r="K534">
        <v>96.9</v>
      </c>
      <c r="L534">
        <v>8</v>
      </c>
      <c r="M534"/>
      <c r="N534"/>
    </row>
    <row r="535" spans="6:14">
      <c r="F535">
        <v>486</v>
      </c>
      <c r="G535">
        <v>6.3695414878050736</v>
      </c>
      <c r="H535">
        <v>0.63045851219492643</v>
      </c>
      <c r="I535">
        <v>0.9412978376030251</v>
      </c>
      <c r="J535"/>
      <c r="K535">
        <v>97.1</v>
      </c>
      <c r="L535">
        <v>8</v>
      </c>
      <c r="M535"/>
      <c r="N535"/>
    </row>
    <row r="536" spans="6:14">
      <c r="F536">
        <v>487</v>
      </c>
      <c r="G536">
        <v>6.3899567464645246</v>
      </c>
      <c r="H536">
        <v>0.61004325353547539</v>
      </c>
      <c r="I536">
        <v>0.91081710261644411</v>
      </c>
      <c r="J536"/>
      <c r="K536">
        <v>97.3</v>
      </c>
      <c r="L536">
        <v>8</v>
      </c>
      <c r="M536"/>
      <c r="N536"/>
    </row>
    <row r="537" spans="6:14">
      <c r="F537">
        <v>488</v>
      </c>
      <c r="G537">
        <v>2.2929674945672831</v>
      </c>
      <c r="H537">
        <v>0.7070325054327169</v>
      </c>
      <c r="I537">
        <v>1.0556256369064554</v>
      </c>
      <c r="J537"/>
      <c r="K537">
        <v>97.5</v>
      </c>
      <c r="L537">
        <v>9</v>
      </c>
      <c r="M537"/>
      <c r="N537"/>
    </row>
    <row r="538" spans="6:14">
      <c r="F538">
        <v>489</v>
      </c>
      <c r="G538">
        <v>6.3949360778448776</v>
      </c>
      <c r="H538">
        <v>0.60506392215512239</v>
      </c>
      <c r="I538">
        <v>0.90338277700996228</v>
      </c>
      <c r="J538"/>
      <c r="K538">
        <v>97.7</v>
      </c>
      <c r="L538">
        <v>9</v>
      </c>
      <c r="M538"/>
      <c r="N538"/>
    </row>
    <row r="539" spans="6:14">
      <c r="F539">
        <v>490</v>
      </c>
      <c r="G539">
        <v>5.2905139620239208</v>
      </c>
      <c r="H539">
        <v>-0.29051396202392077</v>
      </c>
      <c r="I539">
        <v>-0.43374807216823652</v>
      </c>
      <c r="J539"/>
      <c r="K539">
        <v>97.9</v>
      </c>
      <c r="L539">
        <v>9</v>
      </c>
      <c r="M539"/>
      <c r="N539"/>
    </row>
    <row r="540" spans="6:14">
      <c r="F540">
        <v>491</v>
      </c>
      <c r="G540">
        <v>5.5225810748402102</v>
      </c>
      <c r="H540">
        <v>-0.52258107484021021</v>
      </c>
      <c r="I540">
        <v>-0.78023284039230567</v>
      </c>
      <c r="J540"/>
      <c r="K540">
        <v>98.1</v>
      </c>
      <c r="L540">
        <v>9</v>
      </c>
      <c r="M540"/>
      <c r="N540"/>
    </row>
    <row r="541" spans="6:14">
      <c r="F541">
        <v>492</v>
      </c>
      <c r="G541">
        <v>2.2760377678740795</v>
      </c>
      <c r="H541">
        <v>0.72396223212592048</v>
      </c>
      <c r="I541">
        <v>1.0809023439684986</v>
      </c>
      <c r="J541"/>
      <c r="K541">
        <v>98.3</v>
      </c>
      <c r="L541">
        <v>9</v>
      </c>
      <c r="M541"/>
      <c r="N541"/>
    </row>
    <row r="542" spans="6:14">
      <c r="F542">
        <v>493</v>
      </c>
      <c r="G542">
        <v>4.4425576827829865</v>
      </c>
      <c r="H542">
        <v>-0.44255768278298646</v>
      </c>
      <c r="I542">
        <v>-0.66075496128670252</v>
      </c>
      <c r="J542"/>
      <c r="K542">
        <v>98.5</v>
      </c>
      <c r="L542">
        <v>9</v>
      </c>
      <c r="M542"/>
      <c r="N542"/>
    </row>
    <row r="543" spans="6:14">
      <c r="F543">
        <v>494</v>
      </c>
      <c r="G543">
        <v>5.2840408312294604</v>
      </c>
      <c r="H543">
        <v>-0.28404083122946044</v>
      </c>
      <c r="I543">
        <v>-0.42408344887980803</v>
      </c>
      <c r="J543"/>
      <c r="K543">
        <v>98.7</v>
      </c>
      <c r="L543">
        <v>9</v>
      </c>
      <c r="M543"/>
      <c r="N543"/>
    </row>
    <row r="544" spans="6:14">
      <c r="F544">
        <v>495</v>
      </c>
      <c r="G544">
        <v>6.1414578400930662</v>
      </c>
      <c r="H544">
        <v>-0.14145784009306617</v>
      </c>
      <c r="I544">
        <v>-0.21120177841365853</v>
      </c>
      <c r="J544"/>
      <c r="K544">
        <v>98.9</v>
      </c>
      <c r="L544">
        <v>9</v>
      </c>
      <c r="M544"/>
      <c r="N544"/>
    </row>
    <row r="545" spans="6:14">
      <c r="F545">
        <v>496</v>
      </c>
      <c r="G545">
        <v>4.4480349473013758</v>
      </c>
      <c r="H545">
        <v>-0.44803494730137583</v>
      </c>
      <c r="I545">
        <v>-0.66893271945383415</v>
      </c>
      <c r="J545"/>
      <c r="K545">
        <v>99.1</v>
      </c>
      <c r="L545">
        <v>10</v>
      </c>
      <c r="M545"/>
      <c r="N545"/>
    </row>
    <row r="546" spans="6:14">
      <c r="F546">
        <v>497</v>
      </c>
      <c r="G546">
        <v>4.4913551303104544</v>
      </c>
      <c r="H546">
        <v>-0.49135513031045441</v>
      </c>
      <c r="I546">
        <v>-0.73361135223023699</v>
      </c>
      <c r="J546"/>
      <c r="K546">
        <v>99.3</v>
      </c>
      <c r="L546">
        <v>10</v>
      </c>
      <c r="M546"/>
      <c r="N546"/>
    </row>
    <row r="547" spans="6:14">
      <c r="F547">
        <v>498</v>
      </c>
      <c r="G547">
        <v>5.3034602236128405</v>
      </c>
      <c r="H547">
        <v>-0.30346022361284053</v>
      </c>
      <c r="I547">
        <v>-0.45307731874509216</v>
      </c>
      <c r="J547"/>
      <c r="K547">
        <v>99.5</v>
      </c>
      <c r="L547">
        <v>10</v>
      </c>
      <c r="M547"/>
      <c r="N547"/>
    </row>
    <row r="548" spans="6:14">
      <c r="F548">
        <v>499</v>
      </c>
      <c r="G548">
        <v>6.3695414878050736</v>
      </c>
      <c r="H548">
        <v>-0.36954148780507357</v>
      </c>
      <c r="I548">
        <v>-0.55173908615254275</v>
      </c>
      <c r="J548"/>
      <c r="K548">
        <v>99.7</v>
      </c>
      <c r="L548">
        <v>10</v>
      </c>
      <c r="M548"/>
      <c r="N548"/>
    </row>
    <row r="549" spans="6:14" ht="15.75" thickBot="1">
      <c r="F549" s="574">
        <v>500</v>
      </c>
      <c r="G549" s="574">
        <v>6.391450545878631</v>
      </c>
      <c r="H549" s="574">
        <v>0.60854945412136896</v>
      </c>
      <c r="I549" s="574">
        <v>0.90858680493449873</v>
      </c>
      <c r="J549"/>
      <c r="K549" s="574">
        <v>99.9</v>
      </c>
      <c r="L549" s="574">
        <v>10</v>
      </c>
      <c r="M549"/>
      <c r="N549"/>
    </row>
    <row r="550" spans="6:14">
      <c r="F550"/>
      <c r="G550" s="923"/>
      <c r="H550" s="923"/>
      <c r="I550"/>
      <c r="J550"/>
      <c r="K550"/>
      <c r="L550"/>
    </row>
    <row r="551" spans="6:14">
      <c r="F551"/>
      <c r="G551" s="923"/>
      <c r="H551" s="923"/>
      <c r="I551"/>
      <c r="J551"/>
      <c r="K551"/>
      <c r="L551"/>
    </row>
    <row r="552" spans="6:14">
      <c r="F552"/>
      <c r="G552" s="923"/>
      <c r="H552" s="923"/>
      <c r="I552"/>
      <c r="J552"/>
      <c r="K552"/>
      <c r="L552"/>
    </row>
    <row r="553" spans="6:14">
      <c r="F553"/>
      <c r="G553" s="923"/>
      <c r="H553" s="923"/>
      <c r="I553"/>
      <c r="J553"/>
      <c r="K553"/>
      <c r="L553"/>
    </row>
  </sheetData>
  <sortState xmlns:xlrd2="http://schemas.microsoft.com/office/spreadsheetml/2017/richdata2" ref="L50:L549">
    <sortCondition ref="L50"/>
  </sortState>
  <pageMargins left="0.47244094488188981" right="0.31496062992125984" top="0.74803149606299213" bottom="0.74803149606299213" header="0.31496062992125984" footer="0.31496062992125984"/>
  <pageSetup paperSize="9" scale="84" fitToHeight="20" orientation="landscape" horizontalDpi="90" verticalDpi="90"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8D111-CD40-114C-AA82-A479705AC0B4}">
  <sheetPr>
    <pageSetUpPr fitToPage="1"/>
  </sheetPr>
  <dimension ref="A1:U58"/>
  <sheetViews>
    <sheetView zoomScale="90" zoomScaleNormal="90" workbookViewId="0">
      <selection activeCell="I30" sqref="I30"/>
    </sheetView>
  </sheetViews>
  <sheetFormatPr defaultColWidth="9.28515625" defaultRowHeight="12.75"/>
  <cols>
    <col min="1" max="1" width="10.42578125" style="39" customWidth="1"/>
    <col min="2" max="2" width="1.28515625" style="39" customWidth="1"/>
    <col min="3" max="3" width="19" style="39" bestFit="1" customWidth="1"/>
    <col min="4" max="4" width="1.42578125" style="39" customWidth="1"/>
    <col min="5" max="5" width="20.42578125" style="39" bestFit="1" customWidth="1"/>
    <col min="6" max="6" width="9.28515625" style="39"/>
    <col min="7" max="7" width="1.28515625" style="39" customWidth="1"/>
    <col min="8" max="9" width="9.28515625" style="39"/>
    <col min="10" max="10" width="16.42578125" style="39" bestFit="1" customWidth="1"/>
    <col min="11" max="11" width="9.28515625" style="39"/>
    <col min="12" max="12" width="4.28515625" style="39" customWidth="1"/>
    <col min="13" max="13" width="10.42578125" style="39" customWidth="1"/>
    <col min="14" max="17" width="9.28515625" style="39"/>
    <col min="18" max="18" width="2.7109375" style="39" customWidth="1"/>
    <col min="19" max="16384" width="9.28515625" style="39"/>
  </cols>
  <sheetData>
    <row r="1" spans="1:21" ht="21">
      <c r="A1" s="1060" t="s">
        <v>1046</v>
      </c>
    </row>
    <row r="2" spans="1:21" ht="6" customHeight="1">
      <c r="B2" s="40"/>
      <c r="C2" s="41"/>
      <c r="D2" s="42"/>
      <c r="E2" s="42"/>
      <c r="F2" s="42"/>
      <c r="G2" s="43"/>
    </row>
    <row r="3" spans="1:21">
      <c r="B3" s="44"/>
      <c r="C3" s="45" t="s">
        <v>1047</v>
      </c>
      <c r="D3" s="46"/>
      <c r="E3" s="47">
        <v>140</v>
      </c>
      <c r="F3" s="48"/>
      <c r="G3" s="49"/>
    </row>
    <row r="4" spans="1:21">
      <c r="B4" s="44"/>
      <c r="C4" s="50" t="s">
        <v>1048</v>
      </c>
      <c r="D4" s="51"/>
      <c r="E4" s="52">
        <v>0.1</v>
      </c>
      <c r="F4" s="53"/>
      <c r="G4" s="49"/>
    </row>
    <row r="5" spans="1:21">
      <c r="B5" s="44"/>
      <c r="C5" s="50" t="s">
        <v>1049</v>
      </c>
      <c r="D5" s="51"/>
      <c r="E5" s="54">
        <f>E7+E6</f>
        <v>0.1</v>
      </c>
      <c r="F5" s="53"/>
      <c r="G5" s="49"/>
    </row>
    <row r="6" spans="1:21" ht="13.5" thickBot="1">
      <c r="B6" s="44"/>
      <c r="C6" s="55" t="s">
        <v>1050</v>
      </c>
      <c r="D6" s="56"/>
      <c r="E6" s="57">
        <f>2/SQRT(E3/(E4*(1-E4)))</f>
        <v>5.0709255283711001E-2</v>
      </c>
      <c r="F6" s="58"/>
      <c r="G6" s="49"/>
    </row>
    <row r="7" spans="1:21" ht="13.5" thickBot="1">
      <c r="B7" s="44"/>
      <c r="C7" s="59" t="s">
        <v>1051</v>
      </c>
      <c r="D7" s="60"/>
      <c r="E7" s="61">
        <f>E4-E6</f>
        <v>4.9290744716289005E-2</v>
      </c>
      <c r="F7" s="62">
        <f>E4+E6</f>
        <v>0.15070925528371101</v>
      </c>
      <c r="G7" s="49"/>
    </row>
    <row r="8" spans="1:21" ht="6" customHeight="1" thickTop="1">
      <c r="B8" s="63"/>
      <c r="C8" s="64"/>
      <c r="D8" s="64"/>
      <c r="E8" s="64"/>
      <c r="F8" s="64"/>
      <c r="G8" s="65"/>
    </row>
    <row r="10" spans="1:21">
      <c r="M10" s="66"/>
      <c r="N10" s="66"/>
    </row>
    <row r="11" spans="1:21" ht="13.5" thickBot="1">
      <c r="E11" s="998"/>
    </row>
    <row r="12" spans="1:21">
      <c r="C12" s="579" t="s">
        <v>1052</v>
      </c>
      <c r="D12" s="580"/>
      <c r="E12" s="581" t="s">
        <v>1053</v>
      </c>
      <c r="J12" s="67" t="s">
        <v>1054</v>
      </c>
      <c r="K12" s="68"/>
      <c r="L12" s="68"/>
      <c r="M12" s="68"/>
      <c r="N12" s="68"/>
      <c r="O12" s="68"/>
      <c r="P12" s="68"/>
      <c r="Q12" s="69"/>
      <c r="S12" s="1351" t="s">
        <v>1055</v>
      </c>
      <c r="T12" s="1351"/>
      <c r="U12" s="1351"/>
    </row>
    <row r="13" spans="1:21">
      <c r="C13" s="582">
        <v>0.8</v>
      </c>
      <c r="D13" s="583"/>
      <c r="E13" s="584">
        <v>1.28</v>
      </c>
      <c r="J13" s="70" t="s">
        <v>1056</v>
      </c>
      <c r="Q13" s="71"/>
      <c r="S13" s="1351"/>
      <c r="T13" s="1351"/>
      <c r="U13" s="1351"/>
    </row>
    <row r="14" spans="1:21">
      <c r="C14" s="582">
        <v>0.85</v>
      </c>
      <c r="D14" s="583"/>
      <c r="E14" s="584">
        <v>1.44</v>
      </c>
      <c r="J14" s="72" t="s">
        <v>1057</v>
      </c>
      <c r="K14" s="73">
        <v>20</v>
      </c>
      <c r="M14" s="39" t="s">
        <v>1058</v>
      </c>
      <c r="Q14" s="71"/>
      <c r="S14" s="1351"/>
      <c r="T14" s="1351"/>
      <c r="U14" s="1351"/>
    </row>
    <row r="15" spans="1:21">
      <c r="C15" s="582">
        <v>0.9</v>
      </c>
      <c r="D15" s="583"/>
      <c r="E15" s="584">
        <v>1.64</v>
      </c>
      <c r="J15" s="72" t="s">
        <v>1059</v>
      </c>
      <c r="K15" s="73">
        <v>1</v>
      </c>
      <c r="M15" s="39" t="s">
        <v>1060</v>
      </c>
      <c r="Q15" s="71"/>
      <c r="S15" s="1351"/>
      <c r="T15" s="1351"/>
      <c r="U15" s="1351"/>
    </row>
    <row r="16" spans="1:21">
      <c r="C16" s="585">
        <v>0.95</v>
      </c>
      <c r="D16" s="586"/>
      <c r="E16" s="587">
        <v>1.96</v>
      </c>
      <c r="J16" s="72" t="s">
        <v>1061</v>
      </c>
      <c r="K16" s="73">
        <v>200</v>
      </c>
      <c r="M16" s="39" t="str">
        <f>IF(K16&lt;30,"Error n must be 30 or more for this to be valid","The number in the sample")</f>
        <v>The number in the sample</v>
      </c>
      <c r="Q16" s="71"/>
      <c r="S16" s="1351"/>
      <c r="T16" s="1351"/>
      <c r="U16" s="1351"/>
    </row>
    <row r="17" spans="3:21">
      <c r="C17" s="582">
        <v>0.98</v>
      </c>
      <c r="D17" s="583"/>
      <c r="E17" s="584">
        <v>2.33</v>
      </c>
      <c r="J17" s="72" t="s">
        <v>1062</v>
      </c>
      <c r="K17" s="73">
        <v>1.96</v>
      </c>
      <c r="M17" s="39" t="s">
        <v>1063</v>
      </c>
      <c r="Q17" s="71"/>
      <c r="S17" s="1351"/>
      <c r="T17" s="1351"/>
      <c r="U17" s="1351"/>
    </row>
    <row r="18" spans="3:21" ht="13.5" thickBot="1">
      <c r="C18" s="588">
        <v>0.99</v>
      </c>
      <c r="D18" s="589"/>
      <c r="E18" s="590">
        <v>2.58</v>
      </c>
      <c r="J18" s="74" t="s">
        <v>1064</v>
      </c>
      <c r="K18" s="75">
        <f>K17*(K15/SQRT(K16))</f>
        <v>0.13859292911256332</v>
      </c>
      <c r="M18" s="39" t="s">
        <v>1065</v>
      </c>
      <c r="Q18" s="71"/>
      <c r="S18" s="1351"/>
      <c r="T18" s="1351"/>
      <c r="U18" s="1351"/>
    </row>
    <row r="19" spans="3:21">
      <c r="J19" s="70"/>
      <c r="Q19" s="71"/>
      <c r="S19" s="1351"/>
      <c r="T19" s="1351"/>
      <c r="U19" s="1351"/>
    </row>
    <row r="20" spans="3:21">
      <c r="C20" s="76"/>
      <c r="J20" s="70"/>
      <c r="K20" s="77">
        <f>K14</f>
        <v>20</v>
      </c>
      <c r="L20" s="78" t="s">
        <v>1066</v>
      </c>
      <c r="M20" s="79">
        <f>K18</f>
        <v>0.13859292911256332</v>
      </c>
      <c r="Q20" s="71"/>
      <c r="S20" s="1351"/>
      <c r="T20" s="1351"/>
      <c r="U20" s="1351"/>
    </row>
    <row r="21" spans="3:21" ht="13.5" thickBot="1">
      <c r="J21" s="80"/>
      <c r="K21" s="81"/>
      <c r="L21" s="81"/>
      <c r="M21" s="81"/>
      <c r="N21" s="81"/>
      <c r="O21" s="81"/>
      <c r="P21" s="81"/>
      <c r="Q21" s="82"/>
      <c r="S21" s="1351"/>
      <c r="T21" s="1351"/>
      <c r="U21" s="1351"/>
    </row>
    <row r="22" spans="3:21" ht="13.5" thickBot="1"/>
    <row r="23" spans="3:21">
      <c r="J23" s="67" t="s">
        <v>1054</v>
      </c>
      <c r="K23" s="68"/>
      <c r="L23" s="68"/>
      <c r="M23" s="68"/>
      <c r="N23" s="68"/>
      <c r="O23" s="68"/>
      <c r="P23" s="68"/>
      <c r="Q23" s="69"/>
      <c r="S23" s="1351" t="s">
        <v>1067</v>
      </c>
      <c r="T23" s="1351"/>
      <c r="U23" s="1351"/>
    </row>
    <row r="24" spans="3:21">
      <c r="I24" s="76"/>
      <c r="J24" s="70" t="s">
        <v>1068</v>
      </c>
      <c r="Q24" s="71"/>
      <c r="S24" s="1351"/>
      <c r="T24" s="1351"/>
      <c r="U24" s="1351"/>
    </row>
    <row r="25" spans="3:21">
      <c r="I25" s="83"/>
      <c r="J25" s="72" t="s">
        <v>1057</v>
      </c>
      <c r="K25" s="73">
        <v>27</v>
      </c>
      <c r="M25" s="39" t="s">
        <v>1058</v>
      </c>
      <c r="Q25" s="71"/>
      <c r="S25" s="1351"/>
      <c r="T25" s="1351"/>
      <c r="U25" s="1351"/>
    </row>
    <row r="26" spans="3:21">
      <c r="J26" s="72" t="s">
        <v>1059</v>
      </c>
      <c r="K26" s="73">
        <v>1</v>
      </c>
      <c r="M26" s="39" t="s">
        <v>1069</v>
      </c>
      <c r="Q26" s="71"/>
      <c r="S26" s="1351"/>
      <c r="T26" s="1351"/>
      <c r="U26" s="1351"/>
    </row>
    <row r="27" spans="3:21">
      <c r="J27" s="72" t="s">
        <v>1061</v>
      </c>
      <c r="K27" s="73">
        <v>200</v>
      </c>
      <c r="M27" s="39" t="str">
        <f>IF(K27&lt;30,"Error n must be 30 or more for this to be valid","The number in the sample")</f>
        <v>The number in the sample</v>
      </c>
      <c r="Q27" s="71"/>
      <c r="S27" s="1351"/>
      <c r="T27" s="1351"/>
      <c r="U27" s="1351"/>
    </row>
    <row r="28" spans="3:21">
      <c r="J28" s="72" t="s">
        <v>1070</v>
      </c>
      <c r="K28" s="73">
        <v>2</v>
      </c>
      <c r="M28" s="39" t="s">
        <v>1071</v>
      </c>
      <c r="Q28" s="71"/>
      <c r="S28" s="1351"/>
      <c r="T28" s="1351"/>
      <c r="U28" s="1351"/>
    </row>
    <row r="29" spans="3:21">
      <c r="J29" s="74" t="s">
        <v>1064</v>
      </c>
      <c r="K29" s="84">
        <f>K28*(K26/SQRT(K27))</f>
        <v>0.1414213562373095</v>
      </c>
      <c r="M29" s="39" t="s">
        <v>1065</v>
      </c>
      <c r="Q29" s="71"/>
      <c r="S29" s="1351"/>
      <c r="T29" s="1351"/>
      <c r="U29" s="1351"/>
    </row>
    <row r="30" spans="3:21">
      <c r="J30" s="70"/>
      <c r="Q30" s="71"/>
      <c r="S30" s="1351"/>
      <c r="T30" s="1351"/>
      <c r="U30" s="1351"/>
    </row>
    <row r="31" spans="3:21">
      <c r="J31" s="70"/>
      <c r="K31" s="77">
        <f>K25</f>
        <v>27</v>
      </c>
      <c r="L31" s="78" t="s">
        <v>1066</v>
      </c>
      <c r="M31" s="79">
        <f>K29</f>
        <v>0.1414213562373095</v>
      </c>
      <c r="Q31" s="71"/>
      <c r="S31" s="1351"/>
      <c r="T31" s="1351"/>
      <c r="U31" s="1351"/>
    </row>
    <row r="32" spans="3:21" ht="13.5" thickBot="1">
      <c r="J32" s="80"/>
      <c r="K32" s="81"/>
      <c r="L32" s="81"/>
      <c r="M32" s="81"/>
      <c r="N32" s="81"/>
      <c r="O32" s="81"/>
      <c r="P32" s="81"/>
      <c r="Q32" s="82"/>
      <c r="S32" s="1351"/>
      <c r="T32" s="1351"/>
      <c r="U32" s="1351"/>
    </row>
    <row r="33" spans="10:21" ht="13.5" thickBot="1"/>
    <row r="34" spans="10:21">
      <c r="J34" s="67" t="s">
        <v>1072</v>
      </c>
      <c r="K34" s="68"/>
      <c r="L34" s="68"/>
      <c r="M34" s="68"/>
      <c r="N34" s="68"/>
      <c r="O34" s="68"/>
      <c r="P34" s="68"/>
      <c r="Q34" s="69"/>
      <c r="S34" s="1351" t="s">
        <v>1073</v>
      </c>
      <c r="T34" s="1351"/>
      <c r="U34" s="1351"/>
    </row>
    <row r="35" spans="10:21">
      <c r="J35" s="70" t="s">
        <v>1074</v>
      </c>
      <c r="Q35" s="71"/>
      <c r="S35" s="1351"/>
      <c r="T35" s="1351"/>
      <c r="U35" s="1351"/>
    </row>
    <row r="36" spans="10:21">
      <c r="J36" s="70" t="s">
        <v>1075</v>
      </c>
      <c r="Q36" s="71"/>
      <c r="S36" s="1351"/>
      <c r="T36" s="1351"/>
      <c r="U36" s="1351"/>
    </row>
    <row r="37" spans="10:21">
      <c r="J37" s="72" t="s">
        <v>1076</v>
      </c>
      <c r="K37" s="73">
        <f>47.5%*179</f>
        <v>85.024999999999991</v>
      </c>
      <c r="L37" s="85">
        <f>K37/K39</f>
        <v>0.47499999999999998</v>
      </c>
      <c r="M37" s="39" t="s">
        <v>1077</v>
      </c>
      <c r="Q37" s="71"/>
      <c r="S37" s="1351"/>
      <c r="T37" s="1351"/>
      <c r="U37" s="1351"/>
    </row>
    <row r="38" spans="10:21" ht="15">
      <c r="J38" s="72" t="s">
        <v>1078</v>
      </c>
      <c r="K38" s="73">
        <f>29.1%*K40</f>
        <v>52.089000000000006</v>
      </c>
      <c r="L38" s="85">
        <f>K38/K40</f>
        <v>0.29100000000000004</v>
      </c>
      <c r="M38" s="39" t="s">
        <v>1077</v>
      </c>
      <c r="Q38" s="71"/>
      <c r="S38" s="1351"/>
      <c r="T38" s="1351"/>
      <c r="U38" s="1351"/>
    </row>
    <row r="39" spans="10:21">
      <c r="J39" s="72" t="s">
        <v>797</v>
      </c>
      <c r="K39" s="73">
        <v>179</v>
      </c>
      <c r="M39" s="39" t="s">
        <v>1079</v>
      </c>
      <c r="Q39" s="71"/>
      <c r="S39" s="1351"/>
      <c r="T39" s="1351"/>
      <c r="U39" s="1351"/>
    </row>
    <row r="40" spans="10:21" ht="15">
      <c r="J40" s="72" t="s">
        <v>1080</v>
      </c>
      <c r="K40" s="73">
        <v>179</v>
      </c>
      <c r="M40" s="39" t="s">
        <v>1081</v>
      </c>
      <c r="Q40" s="71"/>
      <c r="S40" s="1351"/>
      <c r="T40" s="1351"/>
      <c r="U40" s="1351"/>
    </row>
    <row r="41" spans="10:21">
      <c r="J41" s="72" t="s">
        <v>1062</v>
      </c>
      <c r="K41" s="73">
        <f>E16</f>
        <v>1.96</v>
      </c>
      <c r="M41" s="39" t="s">
        <v>1063</v>
      </c>
      <c r="Q41" s="71"/>
      <c r="S41" s="1351"/>
      <c r="T41" s="1351"/>
      <c r="U41" s="1351"/>
    </row>
    <row r="42" spans="10:21">
      <c r="J42" s="74" t="s">
        <v>1082</v>
      </c>
      <c r="K42" s="86">
        <f>K41*SQRT(((K37/K39)*(1-(K37/K39))/K39)+((K38/K40)*(1-(K38/K40))/K40))</f>
        <v>9.8893150126282456E-2</v>
      </c>
      <c r="M42" s="39" t="s">
        <v>1083</v>
      </c>
      <c r="Q42" s="71"/>
      <c r="S42" s="1351"/>
      <c r="T42" s="1351"/>
      <c r="U42" s="1351"/>
    </row>
    <row r="43" spans="10:21">
      <c r="J43" s="70"/>
      <c r="Q43" s="71"/>
      <c r="S43" s="1351"/>
      <c r="T43" s="1351"/>
      <c r="U43" s="1351"/>
    </row>
    <row r="44" spans="10:21">
      <c r="J44" s="70"/>
      <c r="K44" s="85">
        <f>K37/K39-K38/K40</f>
        <v>0.18399999999999994</v>
      </c>
      <c r="L44" s="78" t="s">
        <v>1066</v>
      </c>
      <c r="M44" s="87">
        <f>K42</f>
        <v>9.8893150126282456E-2</v>
      </c>
      <c r="Q44" s="71"/>
      <c r="S44" s="1351"/>
      <c r="T44" s="1351"/>
      <c r="U44" s="1351"/>
    </row>
    <row r="45" spans="10:21">
      <c r="J45" s="70"/>
      <c r="Q45" s="71"/>
      <c r="S45" s="1351"/>
      <c r="T45" s="1351"/>
      <c r="U45" s="1351"/>
    </row>
    <row r="46" spans="10:21" ht="36" customHeight="1" thickBot="1">
      <c r="J46" s="1352" t="str">
        <f>"95% of the times a population is sampled, each sample will be within the following limits: "&amp;ROUND((K44-M44),3)*100&amp;"% and "&amp;ROUND((K44+M44),3)*100&amp;"%"</f>
        <v>95% of the times a population is sampled, each sample will be within the following limits: 8.5% and 28.3%</v>
      </c>
      <c r="K46" s="1353"/>
      <c r="L46" s="1353"/>
      <c r="M46" s="1353"/>
      <c r="N46" s="1353"/>
      <c r="O46" s="1353"/>
      <c r="P46" s="1353"/>
      <c r="Q46" s="1354"/>
      <c r="S46" s="1351"/>
      <c r="T46" s="1351"/>
      <c r="U46" s="1351"/>
    </row>
    <row r="47" spans="10:21" ht="12.75" customHeight="1">
      <c r="J47" s="88"/>
      <c r="K47" s="88"/>
      <c r="L47" s="88"/>
      <c r="M47" s="88"/>
      <c r="N47" s="88"/>
      <c r="O47" s="88"/>
      <c r="P47" s="88"/>
      <c r="Q47" s="88"/>
    </row>
    <row r="48" spans="10:21" ht="13.5" thickBot="1"/>
    <row r="49" spans="10:21">
      <c r="J49" s="67" t="s">
        <v>1084</v>
      </c>
      <c r="K49" s="89"/>
      <c r="L49" s="68"/>
      <c r="M49" s="68"/>
      <c r="N49" s="68"/>
      <c r="O49" s="68"/>
      <c r="P49" s="68"/>
      <c r="Q49" s="69"/>
      <c r="S49" s="1351" t="s">
        <v>1085</v>
      </c>
      <c r="T49" s="1351"/>
      <c r="U49" s="1351"/>
    </row>
    <row r="50" spans="10:21">
      <c r="J50" s="1355" t="s">
        <v>1086</v>
      </c>
      <c r="K50" s="1356"/>
      <c r="L50" s="1356"/>
      <c r="M50" s="1356"/>
      <c r="N50" s="1356"/>
      <c r="O50" s="1356"/>
      <c r="P50" s="1356"/>
      <c r="Q50" s="1357"/>
      <c r="S50" s="1351"/>
      <c r="T50" s="1351"/>
      <c r="U50" s="1351"/>
    </row>
    <row r="51" spans="10:21">
      <c r="J51" s="1355"/>
      <c r="K51" s="1356"/>
      <c r="L51" s="1356"/>
      <c r="M51" s="1356"/>
      <c r="N51" s="1356"/>
      <c r="O51" s="1356"/>
      <c r="P51" s="1356"/>
      <c r="Q51" s="1357"/>
      <c r="S51" s="1351"/>
      <c r="T51" s="1351"/>
      <c r="U51" s="1351"/>
    </row>
    <row r="52" spans="10:21">
      <c r="J52" s="72" t="s">
        <v>1076</v>
      </c>
      <c r="K52" s="73">
        <v>85</v>
      </c>
      <c r="L52" s="85">
        <f>K52/K53</f>
        <v>0.47486033519553073</v>
      </c>
      <c r="M52" s="39" t="s">
        <v>1077</v>
      </c>
      <c r="Q52" s="71"/>
      <c r="S52" s="1351"/>
      <c r="T52" s="1351"/>
      <c r="U52" s="1351"/>
    </row>
    <row r="53" spans="10:21">
      <c r="J53" s="72" t="s">
        <v>797</v>
      </c>
      <c r="K53" s="73">
        <v>179</v>
      </c>
      <c r="M53" s="39" t="s">
        <v>1079</v>
      </c>
      <c r="Q53" s="71"/>
      <c r="S53" s="1351"/>
      <c r="T53" s="1351"/>
      <c r="U53" s="1351"/>
    </row>
    <row r="54" spans="10:21">
      <c r="J54" s="72" t="s">
        <v>1062</v>
      </c>
      <c r="K54" s="73">
        <f>E16</f>
        <v>1.96</v>
      </c>
      <c r="M54" s="39" t="s">
        <v>1063</v>
      </c>
      <c r="Q54" s="71"/>
      <c r="S54" s="1351"/>
      <c r="T54" s="1351"/>
      <c r="U54" s="1351"/>
    </row>
    <row r="55" spans="10:21">
      <c r="J55" s="74" t="s">
        <v>1082</v>
      </c>
      <c r="K55" s="86">
        <f>K54*SQRT(L52*(1-L52)/K53)</f>
        <v>7.3155993818410536E-2</v>
      </c>
      <c r="M55" s="39" t="s">
        <v>1083</v>
      </c>
      <c r="Q55" s="71"/>
      <c r="S55" s="1351"/>
      <c r="T55" s="1351"/>
      <c r="U55" s="1351"/>
    </row>
    <row r="56" spans="10:21">
      <c r="J56" s="70"/>
      <c r="Q56" s="71"/>
      <c r="S56" s="1351"/>
      <c r="T56" s="1351"/>
      <c r="U56" s="1351"/>
    </row>
    <row r="57" spans="10:21">
      <c r="J57" s="70"/>
      <c r="K57" s="85">
        <f>L52</f>
        <v>0.47486033519553073</v>
      </c>
      <c r="L57" s="78" t="s">
        <v>1066</v>
      </c>
      <c r="M57" s="87">
        <f>K55</f>
        <v>7.3155993818410536E-2</v>
      </c>
      <c r="Q57" s="71"/>
      <c r="S57" s="1351"/>
      <c r="T57" s="1351"/>
      <c r="U57" s="1351"/>
    </row>
    <row r="58" spans="10:21" ht="13.5" thickBot="1">
      <c r="J58" s="80"/>
      <c r="K58" s="81"/>
      <c r="L58" s="81"/>
      <c r="M58" s="81"/>
      <c r="N58" s="81"/>
      <c r="O58" s="81"/>
      <c r="P58" s="81"/>
      <c r="Q58" s="82"/>
      <c r="S58" s="1351"/>
      <c r="T58" s="1351"/>
      <c r="U58" s="1351"/>
    </row>
  </sheetData>
  <mergeCells count="6">
    <mergeCell ref="S12:U21"/>
    <mergeCell ref="S23:U32"/>
    <mergeCell ref="S34:U46"/>
    <mergeCell ref="J46:Q46"/>
    <mergeCell ref="S49:U58"/>
    <mergeCell ref="J50:Q51"/>
  </mergeCells>
  <pageMargins left="0.70866141732283472" right="0.70866141732283472" top="0.74803149606299213" bottom="0.74803149606299213" header="0.31496062992125984" footer="0.31496062992125984"/>
  <pageSetup paperSize="9" scale="65" orientation="landscape" verticalDpi="300"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DAECE-AD46-524E-9922-502BABFB58AD}">
  <sheetPr>
    <pageSetUpPr fitToPage="1"/>
  </sheetPr>
  <dimension ref="B1:R19"/>
  <sheetViews>
    <sheetView zoomScale="70" zoomScaleNormal="70" workbookViewId="0">
      <selection activeCell="V8" sqref="V8"/>
    </sheetView>
  </sheetViews>
  <sheetFormatPr defaultColWidth="9.28515625" defaultRowHeight="15"/>
  <cols>
    <col min="1" max="1" width="1.28515625" style="340" customWidth="1"/>
    <col min="2" max="2" width="18.28515625" style="340" customWidth="1"/>
    <col min="3" max="3" width="1.28515625" style="340" customWidth="1"/>
    <col min="4" max="4" width="18.28515625" style="340" customWidth="1"/>
    <col min="5" max="5" width="1.28515625" style="340" customWidth="1"/>
    <col min="6" max="6" width="18.28515625" style="340" customWidth="1"/>
    <col min="7" max="7" width="1.28515625" style="340" customWidth="1"/>
    <col min="8" max="8" width="18.28515625" style="340" customWidth="1"/>
    <col min="9" max="9" width="1.28515625" style="340" customWidth="1"/>
    <col min="10" max="10" width="18.28515625" style="340" customWidth="1"/>
    <col min="11" max="11" width="1.28515625" style="340" customWidth="1"/>
    <col min="12" max="12" width="18.28515625" style="340" customWidth="1"/>
    <col min="13" max="13" width="1.28515625" style="340" customWidth="1"/>
    <col min="14" max="14" width="18.28515625" style="340" customWidth="1"/>
    <col min="15" max="15" width="1.28515625" style="340" customWidth="1"/>
    <col min="16" max="16" width="18.28515625" style="340" customWidth="1"/>
    <col min="17" max="17" width="1.28515625" style="340" customWidth="1"/>
    <col min="18" max="18" width="18.28515625" style="340" customWidth="1"/>
    <col min="19" max="19" width="1.28515625" style="340" customWidth="1"/>
    <col min="20" max="20" width="18.28515625" style="340" customWidth="1"/>
    <col min="21" max="21" width="1.28515625" style="340" customWidth="1"/>
    <col min="22" max="22" width="18.28515625" style="340" customWidth="1"/>
    <col min="23" max="16384" width="9.28515625" style="340"/>
  </cols>
  <sheetData>
    <row r="1" spans="2:18" ht="40.5" customHeight="1">
      <c r="B1" s="1059" t="s">
        <v>1087</v>
      </c>
      <c r="C1" s="1058"/>
      <c r="D1" s="1358" t="s">
        <v>1088</v>
      </c>
      <c r="E1" s="1358"/>
      <c r="F1" s="1358"/>
      <c r="G1" s="1358"/>
      <c r="H1" s="1358"/>
      <c r="I1" s="1358"/>
      <c r="J1" s="1358"/>
      <c r="K1" s="1358"/>
      <c r="L1" s="1358"/>
      <c r="M1" s="1358"/>
      <c r="N1" s="1358"/>
      <c r="O1" s="1358"/>
      <c r="P1" s="1358"/>
    </row>
    <row r="2" spans="2:18" ht="12.75" customHeight="1">
      <c r="B2" s="1059" t="s">
        <v>181</v>
      </c>
      <c r="C2" s="1058"/>
      <c r="D2" s="1359" t="s">
        <v>1089</v>
      </c>
      <c r="E2" s="1359"/>
      <c r="F2" s="1359"/>
      <c r="G2" s="1359"/>
      <c r="H2" s="1359"/>
      <c r="I2" s="1359"/>
      <c r="J2" s="1359"/>
      <c r="K2" s="1359"/>
      <c r="L2" s="1359"/>
      <c r="M2" s="1359"/>
      <c r="N2" s="1359"/>
      <c r="O2" s="1359"/>
      <c r="P2" s="1359"/>
      <c r="Q2" s="1359"/>
      <c r="R2" s="1359"/>
    </row>
    <row r="3" spans="2:18" ht="5.25" customHeight="1"/>
    <row r="4" spans="2:18" s="360" customFormat="1" ht="66" customHeight="1">
      <c r="B4" s="577" t="s">
        <v>1090</v>
      </c>
      <c r="D4" s="577" t="s">
        <v>1091</v>
      </c>
      <c r="F4" s="577" t="s">
        <v>1092</v>
      </c>
      <c r="H4" s="577" t="s">
        <v>1093</v>
      </c>
      <c r="J4" s="577" t="s">
        <v>1094</v>
      </c>
      <c r="L4" s="577" t="s">
        <v>1095</v>
      </c>
      <c r="N4" s="577" t="s">
        <v>1096</v>
      </c>
      <c r="P4" s="577" t="s">
        <v>1097</v>
      </c>
      <c r="R4" s="577" t="s">
        <v>1098</v>
      </c>
    </row>
    <row r="5" spans="2:18" ht="5.25" customHeight="1">
      <c r="R5" s="578"/>
    </row>
    <row r="6" spans="2:18" ht="66" customHeight="1">
      <c r="B6" s="578" t="s">
        <v>1099</v>
      </c>
      <c r="D6" s="578" t="s">
        <v>1099</v>
      </c>
      <c r="F6" s="578"/>
      <c r="H6" s="578"/>
      <c r="J6" s="578"/>
      <c r="L6" s="578"/>
      <c r="N6" s="578"/>
      <c r="P6" s="578"/>
      <c r="R6" s="578"/>
    </row>
    <row r="7" spans="2:18" ht="5.25" customHeight="1"/>
    <row r="8" spans="2:18" ht="66" customHeight="1">
      <c r="D8" s="578" t="s">
        <v>1099</v>
      </c>
      <c r="F8" s="578"/>
      <c r="H8" s="578"/>
      <c r="L8" s="578"/>
      <c r="N8" s="578"/>
      <c r="P8" s="578"/>
      <c r="R8" s="578"/>
    </row>
    <row r="9" spans="2:18" ht="5.25" customHeight="1"/>
    <row r="10" spans="2:18" ht="66" customHeight="1">
      <c r="D10" s="578" t="s">
        <v>1099</v>
      </c>
      <c r="F10" s="578"/>
      <c r="H10" s="578"/>
      <c r="L10" s="578"/>
      <c r="N10" s="578"/>
      <c r="P10" s="578"/>
      <c r="R10" s="578"/>
    </row>
    <row r="11" spans="2:18" ht="5.25" customHeight="1">
      <c r="E11" s="997"/>
    </row>
    <row r="12" spans="2:18" ht="66" customHeight="1">
      <c r="F12" s="578"/>
      <c r="H12" s="578"/>
      <c r="L12" s="578"/>
      <c r="P12" s="578"/>
      <c r="R12" s="578"/>
    </row>
    <row r="13" spans="2:18" ht="5.25" customHeight="1"/>
    <row r="14" spans="2:18" ht="48" customHeight="1"/>
    <row r="15" spans="2:18" ht="5.25" customHeight="1"/>
    <row r="16" spans="2:18" ht="48" customHeight="1"/>
    <row r="17" ht="5.25" customHeight="1"/>
    <row r="18" ht="48" customHeight="1"/>
    <row r="19" ht="5.25" customHeight="1"/>
  </sheetData>
  <mergeCells count="2">
    <mergeCell ref="D1:P1"/>
    <mergeCell ref="D2:R2"/>
  </mergeCells>
  <pageMargins left="0.70866141732283472" right="0.70866141732283472" top="0.74803149606299213" bottom="0.74803149606299213" header="0.31496062992125984" footer="0.31496062992125984"/>
  <pageSetup paperSize="9" scale="74" orientation="landscape" horizontalDpi="90" verticalDpi="90"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9">
    <pageSetUpPr fitToPage="1"/>
  </sheetPr>
  <dimension ref="B1:H12"/>
  <sheetViews>
    <sheetView zoomScale="55" zoomScaleNormal="55" workbookViewId="0">
      <selection activeCell="H3" sqref="H3"/>
    </sheetView>
  </sheetViews>
  <sheetFormatPr defaultColWidth="8.7109375" defaultRowHeight="15.75"/>
  <cols>
    <col min="1" max="1" width="3.7109375" customWidth="1"/>
    <col min="2" max="2" width="4.7109375" customWidth="1"/>
    <col min="3" max="3" width="35.28515625" customWidth="1"/>
    <col min="5" max="5" width="35.42578125" customWidth="1"/>
    <col min="6" max="6" width="4.7109375" customWidth="1"/>
    <col min="8" max="8" width="55.28515625" style="975" customWidth="1"/>
  </cols>
  <sheetData>
    <row r="1" spans="2:8" ht="16.5" thickBot="1"/>
    <row r="2" spans="2:8" ht="19.5" thickBot="1">
      <c r="B2" s="1360" t="s">
        <v>1100</v>
      </c>
      <c r="C2" s="1361"/>
      <c r="D2" s="1057"/>
      <c r="E2" s="1360" t="s">
        <v>1101</v>
      </c>
      <c r="F2" s="1361"/>
    </row>
    <row r="3" spans="2:8" ht="79.5" customHeight="1" thickBot="1">
      <c r="B3" s="568" t="s">
        <v>1102</v>
      </c>
      <c r="C3" s="569" t="s">
        <v>180</v>
      </c>
      <c r="D3" s="569" t="s">
        <v>1103</v>
      </c>
      <c r="E3" s="569" t="s">
        <v>180</v>
      </c>
      <c r="F3" s="570" t="s">
        <v>1102</v>
      </c>
      <c r="H3" s="707" t="s">
        <v>1104</v>
      </c>
    </row>
    <row r="4" spans="2:8" ht="55.5" customHeight="1">
      <c r="B4" s="571"/>
      <c r="D4" s="1362" t="s">
        <v>1105</v>
      </c>
      <c r="F4" s="571"/>
      <c r="H4" s="976" t="s">
        <v>1106</v>
      </c>
    </row>
    <row r="5" spans="2:8" ht="55.5" customHeight="1">
      <c r="B5" s="572"/>
      <c r="D5" s="1363"/>
      <c r="F5" s="572"/>
      <c r="H5" s="976" t="s">
        <v>1107</v>
      </c>
    </row>
    <row r="6" spans="2:8" ht="55.5" customHeight="1">
      <c r="B6" s="572"/>
      <c r="D6" s="1363"/>
      <c r="F6" s="572"/>
      <c r="H6" s="976" t="s">
        <v>1108</v>
      </c>
    </row>
    <row r="7" spans="2:8" ht="55.5" customHeight="1">
      <c r="B7" s="572"/>
      <c r="D7" s="1363"/>
      <c r="F7" s="572"/>
      <c r="H7" s="976" t="s">
        <v>1109</v>
      </c>
    </row>
    <row r="8" spans="2:8" ht="55.5" customHeight="1">
      <c r="B8" s="572"/>
      <c r="D8" s="1363"/>
      <c r="F8" s="572"/>
      <c r="H8" s="976" t="s">
        <v>1110</v>
      </c>
    </row>
    <row r="9" spans="2:8" ht="55.5" customHeight="1">
      <c r="B9" s="572"/>
      <c r="D9" s="1363"/>
      <c r="F9" s="572"/>
      <c r="H9" s="976" t="s">
        <v>1111</v>
      </c>
    </row>
    <row r="10" spans="2:8" ht="55.5" customHeight="1">
      <c r="B10" s="572"/>
      <c r="D10" s="1363"/>
      <c r="F10" s="572"/>
    </row>
    <row r="11" spans="2:8" ht="55.5" customHeight="1" thickBot="1">
      <c r="B11" s="573"/>
      <c r="C11" s="574"/>
      <c r="D11" s="1364"/>
      <c r="E11" s="996"/>
      <c r="F11" s="573"/>
    </row>
    <row r="12" spans="2:8" ht="16.5" thickBot="1">
      <c r="B12" s="575">
        <f>SUM(B4:B11)</f>
        <v>0</v>
      </c>
      <c r="C12" s="576"/>
      <c r="D12" s="576"/>
      <c r="E12" s="576"/>
      <c r="F12" s="575">
        <f>SUM(F4:F11)</f>
        <v>0</v>
      </c>
    </row>
  </sheetData>
  <mergeCells count="3">
    <mergeCell ref="E2:F2"/>
    <mergeCell ref="B2:C2"/>
    <mergeCell ref="D4:D11"/>
  </mergeCells>
  <pageMargins left="0.70866141732283472" right="0.70866141732283472" top="0.74803149606299213" bottom="0.74803149606299213" header="0.31496062992125984" footer="0.31496062992125984"/>
  <pageSetup paperSize="9" scale="68" orientation="landscape" horizontalDpi="300" verticalDpi="300" r:id="rId1"/>
  <customProperties>
    <customPr name="ORB_SHEETNAME" r:id="rId2"/>
  </customProperties>
  <drawing r:id="rId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19986-AB63-4B07-854A-9595C3FC53FD}">
  <sheetPr>
    <pageSetUpPr fitToPage="1"/>
  </sheetPr>
  <dimension ref="A1:E11"/>
  <sheetViews>
    <sheetView zoomScale="145" zoomScaleNormal="145" workbookViewId="0">
      <selection activeCell="D14" sqref="D14"/>
    </sheetView>
  </sheetViews>
  <sheetFormatPr defaultColWidth="8.7109375" defaultRowHeight="15"/>
  <cols>
    <col min="1" max="1" width="13.28515625" style="559" customWidth="1"/>
    <col min="2" max="16384" width="8.7109375" style="559"/>
  </cols>
  <sheetData>
    <row r="1" spans="1:5">
      <c r="A1" s="555" t="s">
        <v>342</v>
      </c>
      <c r="B1" s="556" t="s">
        <v>1112</v>
      </c>
      <c r="C1" s="557" t="s">
        <v>277</v>
      </c>
      <c r="D1" s="558" t="s">
        <v>338</v>
      </c>
    </row>
    <row r="2" spans="1:5">
      <c r="A2" s="560" t="s">
        <v>1113</v>
      </c>
      <c r="B2" s="483">
        <v>1</v>
      </c>
      <c r="C2" s="483">
        <v>3</v>
      </c>
      <c r="D2" s="561">
        <f t="shared" ref="D2:D10" si="0">C2*B2</f>
        <v>3</v>
      </c>
    </row>
    <row r="3" spans="1:5">
      <c r="A3" s="562" t="s">
        <v>1114</v>
      </c>
      <c r="B3" s="483">
        <v>2</v>
      </c>
      <c r="C3" s="483">
        <v>1</v>
      </c>
      <c r="D3" s="561">
        <f t="shared" si="0"/>
        <v>2</v>
      </c>
    </row>
    <row r="4" spans="1:5">
      <c r="A4" s="562" t="s">
        <v>1115</v>
      </c>
      <c r="B4" s="483">
        <v>4</v>
      </c>
      <c r="C4" s="483">
        <v>2</v>
      </c>
      <c r="D4" s="561">
        <f t="shared" si="0"/>
        <v>8</v>
      </c>
    </row>
    <row r="5" spans="1:5">
      <c r="A5" s="562" t="s">
        <v>1116</v>
      </c>
      <c r="B5" s="483">
        <v>2</v>
      </c>
      <c r="C5" s="483">
        <v>5</v>
      </c>
      <c r="D5" s="561">
        <f t="shared" si="0"/>
        <v>10</v>
      </c>
    </row>
    <row r="6" spans="1:5">
      <c r="A6" s="562"/>
      <c r="B6" s="563"/>
      <c r="C6" s="564"/>
      <c r="D6" s="561">
        <f t="shared" si="0"/>
        <v>0</v>
      </c>
    </row>
    <row r="7" spans="1:5">
      <c r="A7" s="562"/>
      <c r="B7" s="563"/>
      <c r="C7" s="564"/>
      <c r="D7" s="561">
        <f t="shared" si="0"/>
        <v>0</v>
      </c>
    </row>
    <row r="8" spans="1:5">
      <c r="A8" s="562"/>
      <c r="B8" s="563"/>
      <c r="C8" s="564"/>
      <c r="D8" s="561">
        <f t="shared" si="0"/>
        <v>0</v>
      </c>
    </row>
    <row r="9" spans="1:5">
      <c r="A9" s="562"/>
      <c r="B9" s="563"/>
      <c r="C9" s="564"/>
      <c r="D9" s="561">
        <f t="shared" si="0"/>
        <v>0</v>
      </c>
    </row>
    <row r="10" spans="1:5">
      <c r="A10" s="565"/>
      <c r="B10" s="566"/>
      <c r="C10" s="567"/>
      <c r="D10" s="561">
        <f t="shared" si="0"/>
        <v>0</v>
      </c>
    </row>
    <row r="11" spans="1:5">
      <c r="E11" s="995"/>
    </row>
  </sheetData>
  <pageMargins left="0.70866141732283472" right="0.70866141732283472" top="0.74803149606299213" bottom="0.74803149606299213" header="0.31496062992125984" footer="0.31496062992125984"/>
  <pageSetup paperSize="9" orientation="landscape" horizontalDpi="0" verticalDpi="0"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F3F0A-FA78-4E55-BC56-1060F07CF508}">
  <sheetPr>
    <pageSetUpPr fitToPage="1"/>
  </sheetPr>
  <dimension ref="A1:N93"/>
  <sheetViews>
    <sheetView showGridLines="0" zoomScale="85" zoomScaleNormal="85" workbookViewId="0">
      <pane xSplit="1" ySplit="6" topLeftCell="B7" activePane="bottomRight" state="frozen"/>
      <selection pane="bottomRight" activeCell="L100" sqref="L100"/>
      <selection pane="bottomLeft" activeCell="AA21" sqref="AA21"/>
      <selection pane="topRight" activeCell="AA21" sqref="AA21"/>
    </sheetView>
  </sheetViews>
  <sheetFormatPr defaultRowHeight="15"/>
  <cols>
    <col min="1" max="1" width="6.7109375" customWidth="1"/>
    <col min="2" max="2" width="45.28515625" customWidth="1"/>
    <col min="3" max="13" width="6.28515625" customWidth="1"/>
    <col min="14" max="14" width="9" customWidth="1"/>
  </cols>
  <sheetData>
    <row r="1" spans="1:14" ht="21">
      <c r="A1" s="788" t="s">
        <v>1117</v>
      </c>
      <c r="B1" s="780"/>
      <c r="C1" s="784" t="s">
        <v>1118</v>
      </c>
      <c r="D1" s="784"/>
      <c r="E1" s="784"/>
      <c r="F1" s="784"/>
      <c r="G1" s="784"/>
      <c r="H1" s="784"/>
      <c r="I1" s="784" t="s">
        <v>1119</v>
      </c>
      <c r="J1" s="784"/>
      <c r="K1" s="784"/>
      <c r="L1" s="784"/>
      <c r="M1" s="784"/>
      <c r="N1" s="780"/>
    </row>
    <row r="2" spans="1:14" ht="20.25" customHeight="1">
      <c r="A2" s="785" t="s">
        <v>1120</v>
      </c>
      <c r="B2" s="786"/>
      <c r="C2" s="787" t="s">
        <v>1121</v>
      </c>
      <c r="D2" s="787"/>
      <c r="E2" s="787"/>
      <c r="F2" s="787"/>
      <c r="G2" s="787"/>
      <c r="H2" s="787"/>
      <c r="I2" s="787" t="s">
        <v>1122</v>
      </c>
      <c r="J2" s="787"/>
      <c r="K2" s="787"/>
      <c r="L2" s="787"/>
      <c r="M2" s="787"/>
      <c r="N2" s="658"/>
    </row>
    <row r="4" spans="1:14" s="774" customFormat="1" ht="15" customHeight="1">
      <c r="B4" s="782" t="s">
        <v>1123</v>
      </c>
      <c r="C4" s="783">
        <v>10</v>
      </c>
      <c r="D4" s="783">
        <v>8</v>
      </c>
      <c r="E4" s="783">
        <v>5</v>
      </c>
      <c r="F4" s="783">
        <v>5</v>
      </c>
      <c r="G4" s="783">
        <v>3</v>
      </c>
      <c r="H4" s="783"/>
      <c r="I4" s="783"/>
      <c r="J4" s="783"/>
      <c r="K4" s="783"/>
      <c r="L4" s="783"/>
      <c r="M4" s="783"/>
    </row>
    <row r="5" spans="1:14" s="775" customFormat="1" hidden="1">
      <c r="C5" s="776">
        <v>1</v>
      </c>
      <c r="D5" s="776">
        <v>2</v>
      </c>
      <c r="E5" s="776">
        <v>3</v>
      </c>
      <c r="F5" s="776">
        <v>4</v>
      </c>
      <c r="G5" s="776">
        <v>5</v>
      </c>
      <c r="H5" s="776">
        <v>6</v>
      </c>
      <c r="I5" s="776">
        <v>7</v>
      </c>
      <c r="J5" s="776">
        <v>8</v>
      </c>
      <c r="K5" s="776">
        <v>9</v>
      </c>
      <c r="L5" s="776">
        <v>10</v>
      </c>
      <c r="M5" s="776">
        <v>11</v>
      </c>
    </row>
    <row r="6" spans="1:14" ht="91.5">
      <c r="B6" s="774" t="s">
        <v>1124</v>
      </c>
      <c r="C6" s="781" t="s">
        <v>1125</v>
      </c>
      <c r="D6" s="781" t="s">
        <v>1126</v>
      </c>
      <c r="E6" s="781" t="s">
        <v>1127</v>
      </c>
      <c r="F6" s="781" t="s">
        <v>1128</v>
      </c>
      <c r="G6" s="781" t="s">
        <v>1129</v>
      </c>
      <c r="H6" s="860" t="s">
        <v>473</v>
      </c>
      <c r="I6" s="860" t="s">
        <v>473</v>
      </c>
      <c r="J6" s="860" t="s">
        <v>473</v>
      </c>
      <c r="K6" s="860" t="s">
        <v>473</v>
      </c>
      <c r="L6" s="860" t="s">
        <v>473</v>
      </c>
      <c r="M6" s="860" t="s">
        <v>473</v>
      </c>
      <c r="N6" s="861" t="s">
        <v>474</v>
      </c>
    </row>
    <row r="7" spans="1:14" ht="30">
      <c r="A7" s="859">
        <v>1</v>
      </c>
      <c r="B7" s="777" t="s">
        <v>1130</v>
      </c>
      <c r="C7" s="858">
        <v>9</v>
      </c>
      <c r="D7" s="858">
        <v>3</v>
      </c>
      <c r="E7" s="858">
        <v>3</v>
      </c>
      <c r="F7" s="858">
        <v>3</v>
      </c>
      <c r="G7" s="858">
        <v>3</v>
      </c>
      <c r="H7" s="858"/>
      <c r="I7" s="858"/>
      <c r="J7" s="858"/>
      <c r="K7" s="858"/>
      <c r="L7" s="858"/>
      <c r="M7" s="858"/>
      <c r="N7" s="858">
        <f>C7*$C$4+D7*$D$4+E7*$E$4+F7*$F$4+G7*$G$4+$H$7*$H$4+I7*$I$4+J7*$J$4+K7*$K$4+L7*$L$4+M7*$M$4</f>
        <v>153</v>
      </c>
    </row>
    <row r="8" spans="1:14" ht="30">
      <c r="A8" s="859">
        <v>2</v>
      </c>
      <c r="B8" s="777" t="s">
        <v>1131</v>
      </c>
      <c r="C8" s="858">
        <v>3</v>
      </c>
      <c r="D8" s="858">
        <v>3</v>
      </c>
      <c r="E8" s="858"/>
      <c r="F8" s="858">
        <v>3</v>
      </c>
      <c r="G8" s="858">
        <v>1</v>
      </c>
      <c r="H8" s="858"/>
      <c r="I8" s="858"/>
      <c r="J8" s="858"/>
      <c r="K8" s="858"/>
      <c r="L8" s="858"/>
      <c r="M8" s="858"/>
      <c r="N8" s="858">
        <f t="shared" ref="N8:N71" si="0">C8*$C$4+D8*$D$4+E8*$E$4+F8*$F$4+G8*$G$4+$H$7*$H$4+I8*$I$4+J8*$J$4+K8*$K$4+L8*$L$4+M8*$M$4</f>
        <v>72</v>
      </c>
    </row>
    <row r="9" spans="1:14" ht="30">
      <c r="A9" s="859">
        <v>3</v>
      </c>
      <c r="B9" s="777" t="s">
        <v>1132</v>
      </c>
      <c r="C9" s="858">
        <v>3</v>
      </c>
      <c r="D9" s="858">
        <v>1</v>
      </c>
      <c r="E9" s="858">
        <v>3</v>
      </c>
      <c r="F9" s="858">
        <v>3</v>
      </c>
      <c r="G9" s="858">
        <v>3</v>
      </c>
      <c r="H9" s="858"/>
      <c r="I9" s="858"/>
      <c r="J9" s="858"/>
      <c r="K9" s="858"/>
      <c r="L9" s="858"/>
      <c r="M9" s="858"/>
      <c r="N9" s="858">
        <f t="shared" si="0"/>
        <v>77</v>
      </c>
    </row>
    <row r="10" spans="1:14" ht="30">
      <c r="A10" s="859">
        <v>4</v>
      </c>
      <c r="B10" s="777" t="s">
        <v>1133</v>
      </c>
      <c r="C10" s="858">
        <v>1</v>
      </c>
      <c r="D10" s="858"/>
      <c r="E10" s="858">
        <v>3</v>
      </c>
      <c r="F10" s="858">
        <v>3</v>
      </c>
      <c r="G10" s="858">
        <v>3</v>
      </c>
      <c r="H10" s="858"/>
      <c r="I10" s="858"/>
      <c r="J10" s="858"/>
      <c r="K10" s="858"/>
      <c r="L10" s="858"/>
      <c r="M10" s="858"/>
      <c r="N10" s="858">
        <f t="shared" si="0"/>
        <v>49</v>
      </c>
    </row>
    <row r="11" spans="1:14" ht="30">
      <c r="A11" s="859">
        <v>5</v>
      </c>
      <c r="B11" s="777" t="s">
        <v>1134</v>
      </c>
      <c r="C11" s="858">
        <v>9</v>
      </c>
      <c r="D11" s="858">
        <v>9</v>
      </c>
      <c r="E11" s="994">
        <v>9</v>
      </c>
      <c r="F11" s="858">
        <v>3</v>
      </c>
      <c r="G11" s="858">
        <v>3</v>
      </c>
      <c r="H11" s="858"/>
      <c r="I11" s="858"/>
      <c r="J11" s="858"/>
      <c r="K11" s="858"/>
      <c r="L11" s="858"/>
      <c r="M11" s="858"/>
      <c r="N11" s="858">
        <f t="shared" si="0"/>
        <v>231</v>
      </c>
    </row>
    <row r="12" spans="1:14" hidden="1">
      <c r="A12">
        <v>6</v>
      </c>
      <c r="B12" s="777"/>
      <c r="C12" s="778"/>
      <c r="D12" s="778"/>
      <c r="E12" s="778"/>
      <c r="F12" s="778"/>
      <c r="G12" s="778"/>
      <c r="H12" s="778"/>
      <c r="I12" s="778"/>
      <c r="J12" s="778"/>
      <c r="K12" s="778"/>
      <c r="L12" s="778"/>
      <c r="M12" s="778"/>
      <c r="N12" s="779">
        <f t="shared" si="0"/>
        <v>0</v>
      </c>
    </row>
    <row r="13" spans="1:14" hidden="1">
      <c r="A13">
        <v>7</v>
      </c>
      <c r="B13" s="777"/>
      <c r="C13" s="778"/>
      <c r="D13" s="778"/>
      <c r="E13" s="778"/>
      <c r="F13" s="778"/>
      <c r="G13" s="778"/>
      <c r="H13" s="778"/>
      <c r="I13" s="778"/>
      <c r="J13" s="778"/>
      <c r="K13" s="778"/>
      <c r="L13" s="778"/>
      <c r="M13" s="778"/>
      <c r="N13" s="779">
        <f t="shared" si="0"/>
        <v>0</v>
      </c>
    </row>
    <row r="14" spans="1:14" hidden="1">
      <c r="A14">
        <v>8</v>
      </c>
      <c r="B14" s="777"/>
      <c r="C14" s="778"/>
      <c r="D14" s="778"/>
      <c r="E14" s="778"/>
      <c r="F14" s="778"/>
      <c r="G14" s="778"/>
      <c r="H14" s="778"/>
      <c r="I14" s="778"/>
      <c r="J14" s="778"/>
      <c r="K14" s="778"/>
      <c r="L14" s="778"/>
      <c r="M14" s="778"/>
      <c r="N14" s="779">
        <f t="shared" si="0"/>
        <v>0</v>
      </c>
    </row>
    <row r="15" spans="1:14" hidden="1">
      <c r="A15">
        <v>9</v>
      </c>
      <c r="B15" s="778"/>
      <c r="C15" s="778"/>
      <c r="D15" s="778"/>
      <c r="E15" s="778"/>
      <c r="F15" s="778"/>
      <c r="G15" s="778"/>
      <c r="H15" s="778"/>
      <c r="I15" s="778"/>
      <c r="J15" s="778"/>
      <c r="K15" s="778"/>
      <c r="L15" s="778"/>
      <c r="M15" s="778"/>
      <c r="N15" s="779">
        <f t="shared" si="0"/>
        <v>0</v>
      </c>
    </row>
    <row r="16" spans="1:14" hidden="1">
      <c r="A16">
        <v>10</v>
      </c>
      <c r="B16" s="778"/>
      <c r="C16" s="778"/>
      <c r="D16" s="778"/>
      <c r="E16" s="778"/>
      <c r="F16" s="778"/>
      <c r="G16" s="778"/>
      <c r="H16" s="778"/>
      <c r="I16" s="778"/>
      <c r="J16" s="778"/>
      <c r="K16" s="778"/>
      <c r="L16" s="778"/>
      <c r="M16" s="778"/>
      <c r="N16" s="779">
        <f t="shared" si="0"/>
        <v>0</v>
      </c>
    </row>
    <row r="17" spans="1:14" hidden="1">
      <c r="A17">
        <v>11</v>
      </c>
      <c r="B17" s="778"/>
      <c r="C17" s="778"/>
      <c r="D17" s="778"/>
      <c r="E17" s="778"/>
      <c r="F17" s="778"/>
      <c r="G17" s="778"/>
      <c r="H17" s="778"/>
      <c r="I17" s="778"/>
      <c r="J17" s="778"/>
      <c r="K17" s="778"/>
      <c r="L17" s="778"/>
      <c r="M17" s="778"/>
      <c r="N17" s="779">
        <f t="shared" si="0"/>
        <v>0</v>
      </c>
    </row>
    <row r="18" spans="1:14" hidden="1">
      <c r="A18">
        <v>12</v>
      </c>
      <c r="B18" s="778"/>
      <c r="C18" s="778"/>
      <c r="D18" s="778"/>
      <c r="E18" s="778"/>
      <c r="F18" s="778"/>
      <c r="G18" s="778"/>
      <c r="H18" s="778"/>
      <c r="I18" s="778"/>
      <c r="J18" s="778"/>
      <c r="K18" s="778"/>
      <c r="L18" s="778"/>
      <c r="M18" s="778"/>
      <c r="N18" s="779">
        <f t="shared" si="0"/>
        <v>0</v>
      </c>
    </row>
    <row r="19" spans="1:14" hidden="1">
      <c r="A19">
        <v>13</v>
      </c>
      <c r="B19" s="778"/>
      <c r="C19" s="778"/>
      <c r="D19" s="778"/>
      <c r="E19" s="778"/>
      <c r="F19" s="778"/>
      <c r="G19" s="778"/>
      <c r="H19" s="778"/>
      <c r="I19" s="778"/>
      <c r="J19" s="778"/>
      <c r="K19" s="778"/>
      <c r="L19" s="778"/>
      <c r="M19" s="778"/>
      <c r="N19" s="779">
        <f t="shared" si="0"/>
        <v>0</v>
      </c>
    </row>
    <row r="20" spans="1:14" hidden="1">
      <c r="A20">
        <v>14</v>
      </c>
      <c r="B20" s="778"/>
      <c r="C20" s="778"/>
      <c r="D20" s="778"/>
      <c r="E20" s="778"/>
      <c r="F20" s="778"/>
      <c r="G20" s="778"/>
      <c r="H20" s="778"/>
      <c r="I20" s="778"/>
      <c r="J20" s="778"/>
      <c r="K20" s="778"/>
      <c r="L20" s="778"/>
      <c r="M20" s="778"/>
      <c r="N20" s="779">
        <f t="shared" si="0"/>
        <v>0</v>
      </c>
    </row>
    <row r="21" spans="1:14" hidden="1">
      <c r="A21">
        <v>15</v>
      </c>
      <c r="B21" s="778"/>
      <c r="C21" s="778"/>
      <c r="D21" s="778"/>
      <c r="E21" s="778"/>
      <c r="F21" s="778"/>
      <c r="G21" s="778"/>
      <c r="H21" s="778"/>
      <c r="I21" s="778"/>
      <c r="J21" s="778"/>
      <c r="K21" s="778"/>
      <c r="L21" s="778"/>
      <c r="M21" s="778"/>
      <c r="N21" s="779">
        <f t="shared" si="0"/>
        <v>0</v>
      </c>
    </row>
    <row r="22" spans="1:14" hidden="1">
      <c r="A22">
        <v>16</v>
      </c>
      <c r="B22" s="778"/>
      <c r="C22" s="778"/>
      <c r="D22" s="778"/>
      <c r="E22" s="778"/>
      <c r="F22" s="778"/>
      <c r="G22" s="778"/>
      <c r="H22" s="778"/>
      <c r="I22" s="778"/>
      <c r="J22" s="778"/>
      <c r="K22" s="778"/>
      <c r="L22" s="778"/>
      <c r="M22" s="778"/>
      <c r="N22" s="779">
        <f t="shared" si="0"/>
        <v>0</v>
      </c>
    </row>
    <row r="23" spans="1:14" hidden="1">
      <c r="A23">
        <v>17</v>
      </c>
      <c r="B23" s="778"/>
      <c r="C23" s="778"/>
      <c r="D23" s="778"/>
      <c r="E23" s="778"/>
      <c r="F23" s="778"/>
      <c r="G23" s="778"/>
      <c r="H23" s="778"/>
      <c r="I23" s="778"/>
      <c r="J23" s="778"/>
      <c r="K23" s="778"/>
      <c r="L23" s="778"/>
      <c r="M23" s="778"/>
      <c r="N23" s="779">
        <f t="shared" si="0"/>
        <v>0</v>
      </c>
    </row>
    <row r="24" spans="1:14" hidden="1">
      <c r="A24">
        <v>18</v>
      </c>
      <c r="B24" s="778"/>
      <c r="C24" s="778"/>
      <c r="D24" s="778"/>
      <c r="E24" s="778"/>
      <c r="F24" s="778"/>
      <c r="G24" s="778"/>
      <c r="H24" s="778"/>
      <c r="I24" s="778"/>
      <c r="J24" s="778"/>
      <c r="K24" s="778"/>
      <c r="L24" s="778"/>
      <c r="M24" s="778"/>
      <c r="N24" s="779">
        <f t="shared" si="0"/>
        <v>0</v>
      </c>
    </row>
    <row r="25" spans="1:14" hidden="1">
      <c r="A25">
        <v>19</v>
      </c>
      <c r="B25" s="778"/>
      <c r="C25" s="778"/>
      <c r="D25" s="778"/>
      <c r="E25" s="778"/>
      <c r="F25" s="778"/>
      <c r="G25" s="778"/>
      <c r="H25" s="778"/>
      <c r="I25" s="778"/>
      <c r="J25" s="778"/>
      <c r="K25" s="778"/>
      <c r="L25" s="778"/>
      <c r="M25" s="778"/>
      <c r="N25" s="779">
        <f t="shared" si="0"/>
        <v>0</v>
      </c>
    </row>
    <row r="26" spans="1:14" hidden="1">
      <c r="A26">
        <v>20</v>
      </c>
      <c r="B26" s="778"/>
      <c r="C26" s="778"/>
      <c r="D26" s="778"/>
      <c r="E26" s="778"/>
      <c r="F26" s="778"/>
      <c r="G26" s="778"/>
      <c r="H26" s="778"/>
      <c r="I26" s="778"/>
      <c r="J26" s="778"/>
      <c r="K26" s="778"/>
      <c r="L26" s="778"/>
      <c r="M26" s="778"/>
      <c r="N26" s="779">
        <f t="shared" si="0"/>
        <v>0</v>
      </c>
    </row>
    <row r="27" spans="1:14" hidden="1">
      <c r="A27">
        <v>21</v>
      </c>
      <c r="B27" s="778"/>
      <c r="C27" s="778"/>
      <c r="D27" s="778"/>
      <c r="E27" s="778"/>
      <c r="F27" s="778"/>
      <c r="G27" s="778"/>
      <c r="H27" s="778"/>
      <c r="I27" s="778"/>
      <c r="J27" s="778"/>
      <c r="K27" s="778"/>
      <c r="L27" s="778"/>
      <c r="M27" s="778"/>
      <c r="N27" s="779">
        <f t="shared" si="0"/>
        <v>0</v>
      </c>
    </row>
    <row r="28" spans="1:14" hidden="1">
      <c r="A28">
        <v>22</v>
      </c>
      <c r="B28" s="778"/>
      <c r="C28" s="778"/>
      <c r="D28" s="778"/>
      <c r="E28" s="778"/>
      <c r="F28" s="778"/>
      <c r="G28" s="778"/>
      <c r="H28" s="778"/>
      <c r="I28" s="778"/>
      <c r="J28" s="778"/>
      <c r="K28" s="778"/>
      <c r="L28" s="778"/>
      <c r="M28" s="778"/>
      <c r="N28" s="779">
        <f t="shared" si="0"/>
        <v>0</v>
      </c>
    </row>
    <row r="29" spans="1:14" hidden="1">
      <c r="A29">
        <v>23</v>
      </c>
      <c r="B29" s="778"/>
      <c r="C29" s="778"/>
      <c r="D29" s="778"/>
      <c r="E29" s="778"/>
      <c r="F29" s="778"/>
      <c r="G29" s="778"/>
      <c r="H29" s="778"/>
      <c r="I29" s="778"/>
      <c r="J29" s="778"/>
      <c r="K29" s="778"/>
      <c r="L29" s="778"/>
      <c r="M29" s="778"/>
      <c r="N29" s="779">
        <f t="shared" si="0"/>
        <v>0</v>
      </c>
    </row>
    <row r="30" spans="1:14" hidden="1">
      <c r="A30">
        <v>24</v>
      </c>
      <c r="B30" s="778"/>
      <c r="C30" s="778"/>
      <c r="D30" s="778"/>
      <c r="E30" s="778"/>
      <c r="F30" s="778"/>
      <c r="G30" s="778"/>
      <c r="H30" s="778"/>
      <c r="I30" s="778"/>
      <c r="J30" s="778"/>
      <c r="K30" s="778"/>
      <c r="L30" s="778"/>
      <c r="M30" s="778"/>
      <c r="N30" s="779">
        <f t="shared" si="0"/>
        <v>0</v>
      </c>
    </row>
    <row r="31" spans="1:14" hidden="1">
      <c r="A31">
        <v>25</v>
      </c>
      <c r="B31" s="778"/>
      <c r="C31" s="778"/>
      <c r="D31" s="778"/>
      <c r="E31" s="778"/>
      <c r="F31" s="778"/>
      <c r="G31" s="778"/>
      <c r="H31" s="778"/>
      <c r="I31" s="778"/>
      <c r="J31" s="778"/>
      <c r="K31" s="778"/>
      <c r="L31" s="778"/>
      <c r="M31" s="778"/>
      <c r="N31" s="779">
        <f t="shared" si="0"/>
        <v>0</v>
      </c>
    </row>
    <row r="32" spans="1:14" hidden="1">
      <c r="A32">
        <v>26</v>
      </c>
      <c r="B32" s="778"/>
      <c r="C32" s="778"/>
      <c r="D32" s="778"/>
      <c r="E32" s="778"/>
      <c r="F32" s="778"/>
      <c r="G32" s="778"/>
      <c r="H32" s="778"/>
      <c r="I32" s="778"/>
      <c r="J32" s="778"/>
      <c r="K32" s="778"/>
      <c r="L32" s="778"/>
      <c r="M32" s="778"/>
      <c r="N32" s="779">
        <f t="shared" si="0"/>
        <v>0</v>
      </c>
    </row>
    <row r="33" spans="1:14" hidden="1">
      <c r="A33">
        <v>27</v>
      </c>
      <c r="B33" s="778"/>
      <c r="C33" s="778"/>
      <c r="D33" s="778"/>
      <c r="E33" s="778"/>
      <c r="F33" s="778"/>
      <c r="G33" s="778"/>
      <c r="H33" s="778"/>
      <c r="I33" s="778"/>
      <c r="J33" s="778"/>
      <c r="K33" s="778"/>
      <c r="L33" s="778"/>
      <c r="M33" s="778"/>
      <c r="N33" s="779">
        <f t="shared" si="0"/>
        <v>0</v>
      </c>
    </row>
    <row r="34" spans="1:14" hidden="1">
      <c r="A34">
        <v>28</v>
      </c>
      <c r="B34" s="778"/>
      <c r="C34" s="778"/>
      <c r="D34" s="778"/>
      <c r="E34" s="778"/>
      <c r="F34" s="778"/>
      <c r="G34" s="778"/>
      <c r="H34" s="778"/>
      <c r="I34" s="778"/>
      <c r="J34" s="778"/>
      <c r="K34" s="778"/>
      <c r="L34" s="778"/>
      <c r="M34" s="778"/>
      <c r="N34" s="779">
        <f t="shared" si="0"/>
        <v>0</v>
      </c>
    </row>
    <row r="35" spans="1:14" hidden="1">
      <c r="A35">
        <v>29</v>
      </c>
      <c r="B35" s="778"/>
      <c r="C35" s="778"/>
      <c r="D35" s="778"/>
      <c r="E35" s="778"/>
      <c r="F35" s="778"/>
      <c r="G35" s="778"/>
      <c r="H35" s="778"/>
      <c r="I35" s="778"/>
      <c r="J35" s="778"/>
      <c r="K35" s="778"/>
      <c r="L35" s="778"/>
      <c r="M35" s="778"/>
      <c r="N35" s="779">
        <f t="shared" si="0"/>
        <v>0</v>
      </c>
    </row>
    <row r="36" spans="1:14" hidden="1">
      <c r="A36">
        <v>30</v>
      </c>
      <c r="B36" s="778"/>
      <c r="C36" s="778"/>
      <c r="D36" s="778"/>
      <c r="E36" s="778"/>
      <c r="F36" s="778"/>
      <c r="G36" s="778"/>
      <c r="H36" s="778"/>
      <c r="I36" s="778"/>
      <c r="J36" s="778"/>
      <c r="K36" s="778"/>
      <c r="L36" s="778"/>
      <c r="M36" s="778"/>
      <c r="N36" s="779">
        <f t="shared" si="0"/>
        <v>0</v>
      </c>
    </row>
    <row r="37" spans="1:14" hidden="1">
      <c r="A37">
        <v>31</v>
      </c>
      <c r="B37" s="778"/>
      <c r="C37" s="778"/>
      <c r="D37" s="778"/>
      <c r="E37" s="778"/>
      <c r="F37" s="778"/>
      <c r="G37" s="778"/>
      <c r="H37" s="778"/>
      <c r="I37" s="778"/>
      <c r="J37" s="778"/>
      <c r="K37" s="778"/>
      <c r="L37" s="778"/>
      <c r="M37" s="778"/>
      <c r="N37" s="779">
        <f t="shared" si="0"/>
        <v>0</v>
      </c>
    </row>
    <row r="38" spans="1:14" hidden="1">
      <c r="A38">
        <v>32</v>
      </c>
      <c r="B38" s="778"/>
      <c r="C38" s="778"/>
      <c r="D38" s="778"/>
      <c r="E38" s="778"/>
      <c r="F38" s="778"/>
      <c r="G38" s="778"/>
      <c r="H38" s="778"/>
      <c r="I38" s="778"/>
      <c r="J38" s="778"/>
      <c r="K38" s="778"/>
      <c r="L38" s="778"/>
      <c r="M38" s="778"/>
      <c r="N38" s="779">
        <f t="shared" si="0"/>
        <v>0</v>
      </c>
    </row>
    <row r="39" spans="1:14" hidden="1">
      <c r="A39">
        <v>33</v>
      </c>
      <c r="B39" s="778"/>
      <c r="C39" s="778"/>
      <c r="D39" s="778"/>
      <c r="E39" s="778"/>
      <c r="F39" s="778"/>
      <c r="G39" s="778"/>
      <c r="H39" s="778"/>
      <c r="I39" s="778"/>
      <c r="J39" s="778"/>
      <c r="K39" s="778"/>
      <c r="L39" s="778"/>
      <c r="M39" s="778"/>
      <c r="N39" s="779">
        <f t="shared" si="0"/>
        <v>0</v>
      </c>
    </row>
    <row r="40" spans="1:14" hidden="1">
      <c r="A40">
        <v>34</v>
      </c>
      <c r="B40" s="778"/>
      <c r="C40" s="778"/>
      <c r="D40" s="778"/>
      <c r="E40" s="778"/>
      <c r="F40" s="778"/>
      <c r="G40" s="778"/>
      <c r="H40" s="778"/>
      <c r="I40" s="778"/>
      <c r="J40" s="778"/>
      <c r="K40" s="778"/>
      <c r="L40" s="778"/>
      <c r="M40" s="778"/>
      <c r="N40" s="779">
        <f t="shared" si="0"/>
        <v>0</v>
      </c>
    </row>
    <row r="41" spans="1:14" hidden="1">
      <c r="A41">
        <v>35</v>
      </c>
      <c r="B41" s="778"/>
      <c r="C41" s="778"/>
      <c r="D41" s="778"/>
      <c r="E41" s="778"/>
      <c r="F41" s="778"/>
      <c r="G41" s="778"/>
      <c r="H41" s="778"/>
      <c r="I41" s="778"/>
      <c r="J41" s="778"/>
      <c r="K41" s="778"/>
      <c r="L41" s="778"/>
      <c r="M41" s="778"/>
      <c r="N41" s="779">
        <f t="shared" si="0"/>
        <v>0</v>
      </c>
    </row>
    <row r="42" spans="1:14" hidden="1">
      <c r="A42">
        <v>36</v>
      </c>
      <c r="B42" s="778"/>
      <c r="C42" s="778"/>
      <c r="D42" s="778"/>
      <c r="E42" s="778"/>
      <c r="F42" s="778"/>
      <c r="G42" s="778"/>
      <c r="H42" s="778"/>
      <c r="I42" s="778"/>
      <c r="J42" s="778"/>
      <c r="K42" s="778"/>
      <c r="L42" s="778"/>
      <c r="M42" s="778"/>
      <c r="N42" s="779">
        <f t="shared" si="0"/>
        <v>0</v>
      </c>
    </row>
    <row r="43" spans="1:14" hidden="1">
      <c r="A43">
        <v>37</v>
      </c>
      <c r="B43" s="778"/>
      <c r="C43" s="778"/>
      <c r="D43" s="778"/>
      <c r="E43" s="778"/>
      <c r="F43" s="778"/>
      <c r="G43" s="778"/>
      <c r="H43" s="778"/>
      <c r="I43" s="778"/>
      <c r="J43" s="778"/>
      <c r="K43" s="778"/>
      <c r="L43" s="778"/>
      <c r="M43" s="778"/>
      <c r="N43" s="779">
        <f t="shared" si="0"/>
        <v>0</v>
      </c>
    </row>
    <row r="44" spans="1:14" hidden="1">
      <c r="A44">
        <v>38</v>
      </c>
      <c r="B44" s="778"/>
      <c r="C44" s="778"/>
      <c r="D44" s="778"/>
      <c r="E44" s="778"/>
      <c r="F44" s="778"/>
      <c r="G44" s="778"/>
      <c r="H44" s="778"/>
      <c r="I44" s="778"/>
      <c r="J44" s="778"/>
      <c r="K44" s="778"/>
      <c r="L44" s="778"/>
      <c r="M44" s="778"/>
      <c r="N44" s="779">
        <f t="shared" si="0"/>
        <v>0</v>
      </c>
    </row>
    <row r="45" spans="1:14" hidden="1">
      <c r="A45">
        <v>39</v>
      </c>
      <c r="B45" s="778"/>
      <c r="C45" s="778"/>
      <c r="D45" s="778"/>
      <c r="E45" s="778"/>
      <c r="F45" s="778"/>
      <c r="G45" s="778"/>
      <c r="H45" s="778"/>
      <c r="I45" s="778"/>
      <c r="J45" s="778"/>
      <c r="K45" s="778"/>
      <c r="L45" s="778"/>
      <c r="M45" s="778"/>
      <c r="N45" s="779">
        <f t="shared" si="0"/>
        <v>0</v>
      </c>
    </row>
    <row r="46" spans="1:14" hidden="1">
      <c r="A46">
        <v>40</v>
      </c>
      <c r="B46" s="778"/>
      <c r="C46" s="778"/>
      <c r="D46" s="778"/>
      <c r="E46" s="778"/>
      <c r="F46" s="778"/>
      <c r="G46" s="778"/>
      <c r="H46" s="778"/>
      <c r="I46" s="778"/>
      <c r="J46" s="778"/>
      <c r="K46" s="778"/>
      <c r="L46" s="778"/>
      <c r="M46" s="778"/>
      <c r="N46" s="779">
        <f t="shared" si="0"/>
        <v>0</v>
      </c>
    </row>
    <row r="47" spans="1:14" hidden="1">
      <c r="A47">
        <v>41</v>
      </c>
      <c r="B47" s="778"/>
      <c r="C47" s="778"/>
      <c r="D47" s="778"/>
      <c r="E47" s="778"/>
      <c r="F47" s="778"/>
      <c r="G47" s="778"/>
      <c r="H47" s="778"/>
      <c r="I47" s="778"/>
      <c r="J47" s="778"/>
      <c r="K47" s="778"/>
      <c r="L47" s="778"/>
      <c r="M47" s="778"/>
      <c r="N47" s="779">
        <f t="shared" si="0"/>
        <v>0</v>
      </c>
    </row>
    <row r="48" spans="1:14" hidden="1">
      <c r="A48">
        <v>42</v>
      </c>
      <c r="B48" s="778"/>
      <c r="C48" s="778"/>
      <c r="D48" s="778"/>
      <c r="E48" s="778"/>
      <c r="F48" s="778"/>
      <c r="G48" s="778"/>
      <c r="H48" s="778"/>
      <c r="I48" s="778"/>
      <c r="J48" s="778"/>
      <c r="K48" s="778"/>
      <c r="L48" s="778"/>
      <c r="M48" s="778"/>
      <c r="N48" s="779">
        <f t="shared" si="0"/>
        <v>0</v>
      </c>
    </row>
    <row r="49" spans="1:14" hidden="1">
      <c r="A49">
        <v>43</v>
      </c>
      <c r="B49" s="778"/>
      <c r="C49" s="778"/>
      <c r="D49" s="778"/>
      <c r="E49" s="778"/>
      <c r="F49" s="778"/>
      <c r="G49" s="778"/>
      <c r="H49" s="778"/>
      <c r="I49" s="778"/>
      <c r="J49" s="778"/>
      <c r="K49" s="778"/>
      <c r="L49" s="778"/>
      <c r="M49" s="778"/>
      <c r="N49" s="779">
        <f t="shared" si="0"/>
        <v>0</v>
      </c>
    </row>
    <row r="50" spans="1:14" hidden="1">
      <c r="A50">
        <v>44</v>
      </c>
      <c r="B50" s="778"/>
      <c r="C50" s="778"/>
      <c r="D50" s="778"/>
      <c r="E50" s="778"/>
      <c r="F50" s="778"/>
      <c r="G50" s="778"/>
      <c r="H50" s="778"/>
      <c r="I50" s="778"/>
      <c r="J50" s="778"/>
      <c r="K50" s="778"/>
      <c r="L50" s="778"/>
      <c r="M50" s="778"/>
      <c r="N50" s="779">
        <f t="shared" si="0"/>
        <v>0</v>
      </c>
    </row>
    <row r="51" spans="1:14" hidden="1">
      <c r="A51">
        <v>45</v>
      </c>
      <c r="B51" s="778"/>
      <c r="C51" s="778"/>
      <c r="D51" s="778"/>
      <c r="E51" s="778"/>
      <c r="F51" s="778"/>
      <c r="G51" s="778"/>
      <c r="H51" s="778"/>
      <c r="I51" s="778"/>
      <c r="J51" s="778"/>
      <c r="K51" s="778"/>
      <c r="L51" s="778"/>
      <c r="M51" s="778"/>
      <c r="N51" s="779">
        <f t="shared" si="0"/>
        <v>0</v>
      </c>
    </row>
    <row r="52" spans="1:14" hidden="1">
      <c r="A52">
        <v>46</v>
      </c>
      <c r="B52" s="778"/>
      <c r="C52" s="778"/>
      <c r="D52" s="778"/>
      <c r="E52" s="778"/>
      <c r="F52" s="778"/>
      <c r="G52" s="778"/>
      <c r="H52" s="778"/>
      <c r="I52" s="778"/>
      <c r="J52" s="778"/>
      <c r="K52" s="778"/>
      <c r="L52" s="778"/>
      <c r="M52" s="778"/>
      <c r="N52" s="779">
        <f t="shared" si="0"/>
        <v>0</v>
      </c>
    </row>
    <row r="53" spans="1:14" hidden="1">
      <c r="A53">
        <v>47</v>
      </c>
      <c r="B53" s="778"/>
      <c r="C53" s="778"/>
      <c r="D53" s="778"/>
      <c r="E53" s="778"/>
      <c r="F53" s="778"/>
      <c r="G53" s="778"/>
      <c r="H53" s="778"/>
      <c r="I53" s="778"/>
      <c r="J53" s="778"/>
      <c r="K53" s="778"/>
      <c r="L53" s="778"/>
      <c r="M53" s="778"/>
      <c r="N53" s="779">
        <f t="shared" si="0"/>
        <v>0</v>
      </c>
    </row>
    <row r="54" spans="1:14" hidden="1">
      <c r="A54">
        <v>48</v>
      </c>
      <c r="B54" s="778"/>
      <c r="C54" s="778"/>
      <c r="D54" s="778"/>
      <c r="E54" s="778"/>
      <c r="F54" s="778"/>
      <c r="G54" s="778"/>
      <c r="H54" s="778"/>
      <c r="I54" s="778"/>
      <c r="J54" s="778"/>
      <c r="K54" s="778"/>
      <c r="L54" s="778"/>
      <c r="M54" s="778"/>
      <c r="N54" s="779">
        <f t="shared" si="0"/>
        <v>0</v>
      </c>
    </row>
    <row r="55" spans="1:14" hidden="1">
      <c r="A55">
        <v>49</v>
      </c>
      <c r="B55" s="778"/>
      <c r="C55" s="778"/>
      <c r="D55" s="778"/>
      <c r="E55" s="778"/>
      <c r="F55" s="778"/>
      <c r="G55" s="778"/>
      <c r="H55" s="778"/>
      <c r="I55" s="778"/>
      <c r="J55" s="778"/>
      <c r="K55" s="778"/>
      <c r="L55" s="778"/>
      <c r="M55" s="778"/>
      <c r="N55" s="779">
        <f t="shared" si="0"/>
        <v>0</v>
      </c>
    </row>
    <row r="56" spans="1:14" hidden="1">
      <c r="A56">
        <v>50</v>
      </c>
      <c r="B56" s="778"/>
      <c r="C56" s="778"/>
      <c r="D56" s="778"/>
      <c r="E56" s="778"/>
      <c r="F56" s="778"/>
      <c r="G56" s="778"/>
      <c r="H56" s="778"/>
      <c r="I56" s="778"/>
      <c r="J56" s="778"/>
      <c r="K56" s="778"/>
      <c r="L56" s="778"/>
      <c r="M56" s="778"/>
      <c r="N56" s="779">
        <f t="shared" si="0"/>
        <v>0</v>
      </c>
    </row>
    <row r="57" spans="1:14" hidden="1">
      <c r="A57">
        <v>51</v>
      </c>
      <c r="B57" s="778"/>
      <c r="C57" s="778"/>
      <c r="D57" s="778"/>
      <c r="E57" s="778"/>
      <c r="F57" s="778"/>
      <c r="G57" s="778"/>
      <c r="H57" s="778"/>
      <c r="I57" s="778"/>
      <c r="J57" s="778"/>
      <c r="K57" s="778"/>
      <c r="L57" s="778"/>
      <c r="M57" s="778"/>
      <c r="N57" s="779">
        <f t="shared" si="0"/>
        <v>0</v>
      </c>
    </row>
    <row r="58" spans="1:14" hidden="1">
      <c r="A58">
        <v>52</v>
      </c>
      <c r="B58" s="778"/>
      <c r="C58" s="778"/>
      <c r="D58" s="778"/>
      <c r="E58" s="778"/>
      <c r="F58" s="778"/>
      <c r="G58" s="778"/>
      <c r="H58" s="778"/>
      <c r="I58" s="778"/>
      <c r="J58" s="778"/>
      <c r="K58" s="778"/>
      <c r="L58" s="778"/>
      <c r="M58" s="778"/>
      <c r="N58" s="779">
        <f t="shared" si="0"/>
        <v>0</v>
      </c>
    </row>
    <row r="59" spans="1:14" hidden="1">
      <c r="A59">
        <v>53</v>
      </c>
      <c r="B59" s="778"/>
      <c r="C59" s="778"/>
      <c r="D59" s="778"/>
      <c r="E59" s="778"/>
      <c r="F59" s="778"/>
      <c r="G59" s="778"/>
      <c r="H59" s="778"/>
      <c r="I59" s="778"/>
      <c r="J59" s="778"/>
      <c r="K59" s="778"/>
      <c r="L59" s="778"/>
      <c r="M59" s="778"/>
      <c r="N59" s="779">
        <f t="shared" si="0"/>
        <v>0</v>
      </c>
    </row>
    <row r="60" spans="1:14" hidden="1">
      <c r="A60">
        <v>54</v>
      </c>
      <c r="B60" s="778"/>
      <c r="C60" s="778"/>
      <c r="D60" s="778"/>
      <c r="E60" s="778"/>
      <c r="F60" s="778"/>
      <c r="G60" s="778"/>
      <c r="H60" s="778"/>
      <c r="I60" s="778"/>
      <c r="J60" s="778"/>
      <c r="K60" s="778"/>
      <c r="L60" s="778"/>
      <c r="M60" s="778"/>
      <c r="N60" s="779">
        <f t="shared" si="0"/>
        <v>0</v>
      </c>
    </row>
    <row r="61" spans="1:14" hidden="1">
      <c r="A61">
        <v>55</v>
      </c>
      <c r="B61" s="778"/>
      <c r="C61" s="778"/>
      <c r="D61" s="778"/>
      <c r="E61" s="778"/>
      <c r="F61" s="778"/>
      <c r="G61" s="778"/>
      <c r="H61" s="778"/>
      <c r="I61" s="778"/>
      <c r="J61" s="778"/>
      <c r="K61" s="778"/>
      <c r="L61" s="778"/>
      <c r="M61" s="778"/>
      <c r="N61" s="779">
        <f t="shared" si="0"/>
        <v>0</v>
      </c>
    </row>
    <row r="62" spans="1:14" hidden="1">
      <c r="A62">
        <v>56</v>
      </c>
      <c r="B62" s="778"/>
      <c r="C62" s="778"/>
      <c r="D62" s="778"/>
      <c r="E62" s="778"/>
      <c r="F62" s="778"/>
      <c r="G62" s="778"/>
      <c r="H62" s="778"/>
      <c r="I62" s="778"/>
      <c r="J62" s="778"/>
      <c r="K62" s="778"/>
      <c r="L62" s="778"/>
      <c r="M62" s="778"/>
      <c r="N62" s="779">
        <f t="shared" si="0"/>
        <v>0</v>
      </c>
    </row>
    <row r="63" spans="1:14" hidden="1">
      <c r="A63">
        <v>57</v>
      </c>
      <c r="B63" s="778"/>
      <c r="C63" s="778"/>
      <c r="D63" s="778"/>
      <c r="E63" s="778"/>
      <c r="F63" s="778"/>
      <c r="G63" s="778"/>
      <c r="H63" s="778"/>
      <c r="I63" s="778"/>
      <c r="J63" s="778"/>
      <c r="K63" s="778"/>
      <c r="L63" s="778"/>
      <c r="M63" s="778"/>
      <c r="N63" s="779">
        <f t="shared" si="0"/>
        <v>0</v>
      </c>
    </row>
    <row r="64" spans="1:14" hidden="1">
      <c r="A64">
        <v>58</v>
      </c>
      <c r="B64" s="778"/>
      <c r="C64" s="778"/>
      <c r="D64" s="778"/>
      <c r="E64" s="778"/>
      <c r="F64" s="778"/>
      <c r="G64" s="778"/>
      <c r="H64" s="778"/>
      <c r="I64" s="778"/>
      <c r="J64" s="778"/>
      <c r="K64" s="778"/>
      <c r="L64" s="778"/>
      <c r="M64" s="778"/>
      <c r="N64" s="779">
        <f t="shared" si="0"/>
        <v>0</v>
      </c>
    </row>
    <row r="65" spans="1:14" hidden="1">
      <c r="A65">
        <v>59</v>
      </c>
      <c r="B65" s="778"/>
      <c r="C65" s="778"/>
      <c r="D65" s="778"/>
      <c r="E65" s="778"/>
      <c r="F65" s="778"/>
      <c r="G65" s="778"/>
      <c r="H65" s="778"/>
      <c r="I65" s="778"/>
      <c r="J65" s="778"/>
      <c r="K65" s="778"/>
      <c r="L65" s="778"/>
      <c r="M65" s="778"/>
      <c r="N65" s="779">
        <f t="shared" si="0"/>
        <v>0</v>
      </c>
    </row>
    <row r="66" spans="1:14" hidden="1">
      <c r="A66">
        <v>60</v>
      </c>
      <c r="B66" s="778"/>
      <c r="C66" s="778"/>
      <c r="D66" s="778"/>
      <c r="E66" s="778"/>
      <c r="F66" s="778"/>
      <c r="G66" s="778"/>
      <c r="H66" s="778"/>
      <c r="I66" s="778"/>
      <c r="J66" s="778"/>
      <c r="K66" s="778"/>
      <c r="L66" s="778"/>
      <c r="M66" s="778"/>
      <c r="N66" s="779">
        <f t="shared" si="0"/>
        <v>0</v>
      </c>
    </row>
    <row r="67" spans="1:14" hidden="1">
      <c r="A67">
        <v>61</v>
      </c>
      <c r="B67" s="778"/>
      <c r="C67" s="778"/>
      <c r="D67" s="778"/>
      <c r="E67" s="778"/>
      <c r="F67" s="778"/>
      <c r="G67" s="778"/>
      <c r="H67" s="778"/>
      <c r="I67" s="778"/>
      <c r="J67" s="778"/>
      <c r="K67" s="778"/>
      <c r="L67" s="778"/>
      <c r="M67" s="778"/>
      <c r="N67" s="779">
        <f t="shared" si="0"/>
        <v>0</v>
      </c>
    </row>
    <row r="68" spans="1:14" hidden="1">
      <c r="A68">
        <v>62</v>
      </c>
      <c r="B68" s="778"/>
      <c r="C68" s="778"/>
      <c r="D68" s="778"/>
      <c r="E68" s="778"/>
      <c r="F68" s="778"/>
      <c r="G68" s="778"/>
      <c r="H68" s="778"/>
      <c r="I68" s="778"/>
      <c r="J68" s="778"/>
      <c r="K68" s="778"/>
      <c r="L68" s="778"/>
      <c r="M68" s="778"/>
      <c r="N68" s="779">
        <f t="shared" si="0"/>
        <v>0</v>
      </c>
    </row>
    <row r="69" spans="1:14" hidden="1">
      <c r="A69">
        <v>63</v>
      </c>
      <c r="B69" s="778"/>
      <c r="C69" s="778"/>
      <c r="D69" s="778"/>
      <c r="E69" s="778"/>
      <c r="F69" s="778"/>
      <c r="G69" s="778"/>
      <c r="H69" s="778"/>
      <c r="I69" s="778"/>
      <c r="J69" s="778"/>
      <c r="K69" s="778"/>
      <c r="L69" s="778"/>
      <c r="M69" s="778"/>
      <c r="N69" s="779">
        <f t="shared" si="0"/>
        <v>0</v>
      </c>
    </row>
    <row r="70" spans="1:14" hidden="1">
      <c r="A70">
        <v>64</v>
      </c>
      <c r="B70" s="778"/>
      <c r="C70" s="778"/>
      <c r="D70" s="778"/>
      <c r="E70" s="778"/>
      <c r="F70" s="778"/>
      <c r="G70" s="778"/>
      <c r="H70" s="778"/>
      <c r="I70" s="778"/>
      <c r="J70" s="778"/>
      <c r="K70" s="778"/>
      <c r="L70" s="778"/>
      <c r="M70" s="778"/>
      <c r="N70" s="779">
        <f t="shared" si="0"/>
        <v>0</v>
      </c>
    </row>
    <row r="71" spans="1:14" hidden="1">
      <c r="A71">
        <v>65</v>
      </c>
      <c r="B71" s="778"/>
      <c r="C71" s="778"/>
      <c r="D71" s="778"/>
      <c r="E71" s="778"/>
      <c r="F71" s="778"/>
      <c r="G71" s="778"/>
      <c r="H71" s="778"/>
      <c r="I71" s="778"/>
      <c r="J71" s="778"/>
      <c r="K71" s="778"/>
      <c r="L71" s="778"/>
      <c r="M71" s="778"/>
      <c r="N71" s="779">
        <f t="shared" si="0"/>
        <v>0</v>
      </c>
    </row>
    <row r="72" spans="1:14" hidden="1">
      <c r="A72">
        <v>66</v>
      </c>
      <c r="B72" s="778"/>
      <c r="C72" s="778"/>
      <c r="D72" s="778"/>
      <c r="E72" s="778"/>
      <c r="F72" s="778"/>
      <c r="G72" s="778"/>
      <c r="H72" s="778"/>
      <c r="I72" s="778"/>
      <c r="J72" s="778"/>
      <c r="K72" s="778"/>
      <c r="L72" s="778"/>
      <c r="M72" s="778"/>
      <c r="N72" s="779">
        <f t="shared" ref="N72:N92" si="1">C72*$C$4+D72*$D$4+E72*$E$4+F72*$F$4+G72*$G$4+$H$7*$H$4+I72*$I$4+J72*$J$4+K72*$K$4+L72*$L$4+M72*$M$4</f>
        <v>0</v>
      </c>
    </row>
    <row r="73" spans="1:14" hidden="1">
      <c r="A73">
        <v>67</v>
      </c>
      <c r="B73" s="778"/>
      <c r="C73" s="778"/>
      <c r="D73" s="778"/>
      <c r="E73" s="778"/>
      <c r="F73" s="778"/>
      <c r="G73" s="778"/>
      <c r="H73" s="778"/>
      <c r="I73" s="778"/>
      <c r="J73" s="778"/>
      <c r="K73" s="778"/>
      <c r="L73" s="778"/>
      <c r="M73" s="778"/>
      <c r="N73" s="779">
        <f t="shared" si="1"/>
        <v>0</v>
      </c>
    </row>
    <row r="74" spans="1:14" hidden="1">
      <c r="A74">
        <v>68</v>
      </c>
      <c r="B74" s="778"/>
      <c r="C74" s="778"/>
      <c r="D74" s="778"/>
      <c r="E74" s="778"/>
      <c r="F74" s="778"/>
      <c r="G74" s="778"/>
      <c r="H74" s="778"/>
      <c r="I74" s="778"/>
      <c r="J74" s="778"/>
      <c r="K74" s="778"/>
      <c r="L74" s="778"/>
      <c r="M74" s="778"/>
      <c r="N74" s="779">
        <f t="shared" si="1"/>
        <v>0</v>
      </c>
    </row>
    <row r="75" spans="1:14" hidden="1">
      <c r="A75">
        <v>69</v>
      </c>
      <c r="B75" s="778"/>
      <c r="C75" s="778"/>
      <c r="D75" s="778"/>
      <c r="E75" s="778"/>
      <c r="F75" s="778"/>
      <c r="G75" s="778"/>
      <c r="H75" s="778"/>
      <c r="I75" s="778"/>
      <c r="J75" s="778"/>
      <c r="K75" s="778"/>
      <c r="L75" s="778"/>
      <c r="M75" s="778"/>
      <c r="N75" s="779">
        <f t="shared" si="1"/>
        <v>0</v>
      </c>
    </row>
    <row r="76" spans="1:14" hidden="1">
      <c r="A76">
        <v>70</v>
      </c>
      <c r="B76" s="778"/>
      <c r="C76" s="778"/>
      <c r="D76" s="778"/>
      <c r="E76" s="778"/>
      <c r="F76" s="778"/>
      <c r="G76" s="778"/>
      <c r="H76" s="778"/>
      <c r="I76" s="778"/>
      <c r="J76" s="778"/>
      <c r="K76" s="778"/>
      <c r="L76" s="778"/>
      <c r="M76" s="778"/>
      <c r="N76" s="779">
        <f t="shared" si="1"/>
        <v>0</v>
      </c>
    </row>
    <row r="77" spans="1:14" hidden="1">
      <c r="A77">
        <v>71</v>
      </c>
      <c r="B77" s="778"/>
      <c r="C77" s="778"/>
      <c r="D77" s="778"/>
      <c r="E77" s="778"/>
      <c r="F77" s="778"/>
      <c r="G77" s="778"/>
      <c r="H77" s="778"/>
      <c r="I77" s="778"/>
      <c r="J77" s="778"/>
      <c r="K77" s="778"/>
      <c r="L77" s="778"/>
      <c r="M77" s="778"/>
      <c r="N77" s="779">
        <f t="shared" si="1"/>
        <v>0</v>
      </c>
    </row>
    <row r="78" spans="1:14" hidden="1">
      <c r="A78">
        <v>72</v>
      </c>
      <c r="B78" s="778"/>
      <c r="C78" s="778"/>
      <c r="D78" s="778"/>
      <c r="E78" s="778"/>
      <c r="F78" s="778"/>
      <c r="G78" s="778"/>
      <c r="H78" s="778"/>
      <c r="I78" s="778"/>
      <c r="J78" s="778"/>
      <c r="K78" s="778"/>
      <c r="L78" s="778"/>
      <c r="M78" s="778"/>
      <c r="N78" s="779">
        <f t="shared" si="1"/>
        <v>0</v>
      </c>
    </row>
    <row r="79" spans="1:14" hidden="1">
      <c r="A79">
        <v>73</v>
      </c>
      <c r="B79" s="778"/>
      <c r="C79" s="778"/>
      <c r="D79" s="778"/>
      <c r="E79" s="778"/>
      <c r="F79" s="778"/>
      <c r="G79" s="778"/>
      <c r="H79" s="778"/>
      <c r="I79" s="778"/>
      <c r="J79" s="778"/>
      <c r="K79" s="778"/>
      <c r="L79" s="778"/>
      <c r="M79" s="778"/>
      <c r="N79" s="779">
        <f t="shared" si="1"/>
        <v>0</v>
      </c>
    </row>
    <row r="80" spans="1:14" hidden="1">
      <c r="A80">
        <v>74</v>
      </c>
      <c r="B80" s="778"/>
      <c r="C80" s="778"/>
      <c r="D80" s="778"/>
      <c r="E80" s="778"/>
      <c r="F80" s="778"/>
      <c r="G80" s="778"/>
      <c r="H80" s="778"/>
      <c r="I80" s="778"/>
      <c r="J80" s="778"/>
      <c r="K80" s="778"/>
      <c r="L80" s="778"/>
      <c r="M80" s="778"/>
      <c r="N80" s="779">
        <f t="shared" si="1"/>
        <v>0</v>
      </c>
    </row>
    <row r="81" spans="1:14" hidden="1">
      <c r="A81">
        <v>75</v>
      </c>
      <c r="B81" s="778"/>
      <c r="C81" s="778"/>
      <c r="D81" s="778"/>
      <c r="E81" s="778"/>
      <c r="F81" s="778"/>
      <c r="G81" s="778"/>
      <c r="H81" s="778"/>
      <c r="I81" s="778"/>
      <c r="J81" s="778"/>
      <c r="K81" s="778"/>
      <c r="L81" s="778"/>
      <c r="M81" s="778"/>
      <c r="N81" s="779">
        <f t="shared" si="1"/>
        <v>0</v>
      </c>
    </row>
    <row r="82" spans="1:14" hidden="1">
      <c r="A82">
        <v>76</v>
      </c>
      <c r="B82" s="778"/>
      <c r="C82" s="778"/>
      <c r="D82" s="778"/>
      <c r="E82" s="778"/>
      <c r="F82" s="778"/>
      <c r="G82" s="778"/>
      <c r="H82" s="778"/>
      <c r="I82" s="778"/>
      <c r="J82" s="778"/>
      <c r="K82" s="778"/>
      <c r="L82" s="778"/>
      <c r="M82" s="778"/>
      <c r="N82" s="779">
        <f t="shared" si="1"/>
        <v>0</v>
      </c>
    </row>
    <row r="83" spans="1:14" hidden="1">
      <c r="A83">
        <v>77</v>
      </c>
      <c r="B83" s="778"/>
      <c r="C83" s="778"/>
      <c r="D83" s="778"/>
      <c r="E83" s="778"/>
      <c r="F83" s="778"/>
      <c r="G83" s="778"/>
      <c r="H83" s="778"/>
      <c r="I83" s="778"/>
      <c r="J83" s="778"/>
      <c r="K83" s="778"/>
      <c r="L83" s="778"/>
      <c r="M83" s="778"/>
      <c r="N83" s="779">
        <f t="shared" si="1"/>
        <v>0</v>
      </c>
    </row>
    <row r="84" spans="1:14" hidden="1">
      <c r="A84">
        <v>78</v>
      </c>
      <c r="B84" s="778"/>
      <c r="C84" s="778"/>
      <c r="D84" s="778"/>
      <c r="E84" s="778"/>
      <c r="F84" s="778"/>
      <c r="G84" s="778"/>
      <c r="H84" s="778"/>
      <c r="I84" s="778"/>
      <c r="J84" s="778"/>
      <c r="K84" s="778"/>
      <c r="L84" s="778"/>
      <c r="M84" s="778"/>
      <c r="N84" s="779">
        <f t="shared" si="1"/>
        <v>0</v>
      </c>
    </row>
    <row r="85" spans="1:14" hidden="1">
      <c r="A85">
        <v>79</v>
      </c>
      <c r="B85" s="778"/>
      <c r="C85" s="778"/>
      <c r="D85" s="778"/>
      <c r="E85" s="778"/>
      <c r="F85" s="778"/>
      <c r="G85" s="778"/>
      <c r="H85" s="778"/>
      <c r="I85" s="778"/>
      <c r="J85" s="778"/>
      <c r="K85" s="778"/>
      <c r="L85" s="778"/>
      <c r="M85" s="778"/>
      <c r="N85" s="779">
        <f t="shared" si="1"/>
        <v>0</v>
      </c>
    </row>
    <row r="86" spans="1:14" hidden="1">
      <c r="A86">
        <v>80</v>
      </c>
      <c r="B86" s="778"/>
      <c r="C86" s="778"/>
      <c r="D86" s="778"/>
      <c r="E86" s="778"/>
      <c r="F86" s="778"/>
      <c r="G86" s="778"/>
      <c r="H86" s="778"/>
      <c r="I86" s="778"/>
      <c r="J86" s="778"/>
      <c r="K86" s="778"/>
      <c r="L86" s="778"/>
      <c r="M86" s="778"/>
      <c r="N86" s="779">
        <f t="shared" si="1"/>
        <v>0</v>
      </c>
    </row>
    <row r="87" spans="1:14" hidden="1">
      <c r="A87">
        <v>81</v>
      </c>
      <c r="B87" s="778"/>
      <c r="C87" s="778"/>
      <c r="D87" s="778"/>
      <c r="E87" s="778"/>
      <c r="F87" s="778"/>
      <c r="G87" s="778"/>
      <c r="H87" s="778"/>
      <c r="I87" s="778"/>
      <c r="J87" s="778"/>
      <c r="K87" s="778"/>
      <c r="L87" s="778"/>
      <c r="M87" s="778"/>
      <c r="N87" s="779">
        <f t="shared" si="1"/>
        <v>0</v>
      </c>
    </row>
    <row r="88" spans="1:14" hidden="1">
      <c r="A88">
        <v>82</v>
      </c>
      <c r="B88" s="778"/>
      <c r="C88" s="778"/>
      <c r="D88" s="778"/>
      <c r="E88" s="778"/>
      <c r="F88" s="778"/>
      <c r="G88" s="778"/>
      <c r="H88" s="778"/>
      <c r="I88" s="778"/>
      <c r="J88" s="778"/>
      <c r="K88" s="778"/>
      <c r="L88" s="778"/>
      <c r="M88" s="778"/>
      <c r="N88" s="779">
        <f t="shared" si="1"/>
        <v>0</v>
      </c>
    </row>
    <row r="89" spans="1:14" hidden="1">
      <c r="A89">
        <v>83</v>
      </c>
      <c r="B89" s="778"/>
      <c r="C89" s="778"/>
      <c r="D89" s="778"/>
      <c r="E89" s="778"/>
      <c r="F89" s="778"/>
      <c r="G89" s="778"/>
      <c r="H89" s="778"/>
      <c r="I89" s="778"/>
      <c r="J89" s="778"/>
      <c r="K89" s="778"/>
      <c r="L89" s="778"/>
      <c r="M89" s="778"/>
      <c r="N89" s="779">
        <f t="shared" si="1"/>
        <v>0</v>
      </c>
    </row>
    <row r="90" spans="1:14" hidden="1">
      <c r="A90">
        <v>84</v>
      </c>
      <c r="B90" s="778"/>
      <c r="C90" s="778"/>
      <c r="D90" s="778"/>
      <c r="E90" s="778"/>
      <c r="F90" s="778"/>
      <c r="G90" s="778"/>
      <c r="H90" s="778"/>
      <c r="I90" s="778"/>
      <c r="J90" s="778"/>
      <c r="K90" s="778"/>
      <c r="L90" s="778"/>
      <c r="M90" s="778"/>
      <c r="N90" s="779">
        <f t="shared" si="1"/>
        <v>0</v>
      </c>
    </row>
    <row r="91" spans="1:14" hidden="1">
      <c r="A91">
        <v>85</v>
      </c>
      <c r="B91" s="778"/>
      <c r="C91" s="778"/>
      <c r="D91" s="778"/>
      <c r="E91" s="778"/>
      <c r="F91" s="778"/>
      <c r="G91" s="778"/>
      <c r="H91" s="778"/>
      <c r="I91" s="778"/>
      <c r="J91" s="778"/>
      <c r="K91" s="778"/>
      <c r="L91" s="778"/>
      <c r="M91" s="778"/>
      <c r="N91" s="779">
        <f t="shared" si="1"/>
        <v>0</v>
      </c>
    </row>
    <row r="92" spans="1:14" hidden="1">
      <c r="A92">
        <v>86</v>
      </c>
      <c r="B92" s="778"/>
      <c r="C92" s="778"/>
      <c r="D92" s="778"/>
      <c r="E92" s="778"/>
      <c r="F92" s="778"/>
      <c r="G92" s="778"/>
      <c r="H92" s="778"/>
      <c r="I92" s="778"/>
      <c r="J92" s="778"/>
      <c r="K92" s="778"/>
      <c r="L92" s="778"/>
      <c r="M92" s="778"/>
      <c r="N92" s="779">
        <f t="shared" si="1"/>
        <v>0</v>
      </c>
    </row>
    <row r="93" spans="1:14" s="774" customFormat="1"/>
  </sheetData>
  <dataValidations count="1">
    <dataValidation type="list" allowBlank="1" showInputMessage="1" showErrorMessage="1" sqref="C7:M20" xr:uid="{50CFCCC1-D5EE-4A90-8A50-037156934C47}">
      <formula1>"0,1,3,9"</formula1>
    </dataValidation>
  </dataValidations>
  <pageMargins left="0.70866141732283472" right="0.70866141732283472" top="0.74803149606299213" bottom="0.74803149606299213" header="0.31496062992125984" footer="0.31496062992125984"/>
  <pageSetup paperSize="9" orientation="landscape"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2288A-2474-4CDB-8DC7-D585046A48F1}">
  <sheetPr>
    <pageSetUpPr fitToPage="1"/>
  </sheetPr>
  <dimension ref="A1:P52"/>
  <sheetViews>
    <sheetView showGridLines="0" zoomScaleNormal="100" workbookViewId="0">
      <selection activeCell="B1" sqref="B1"/>
    </sheetView>
  </sheetViews>
  <sheetFormatPr defaultRowHeight="12"/>
  <cols>
    <col min="1" max="1" width="2.7109375" style="791" customWidth="1"/>
    <col min="2" max="2" width="33.7109375" style="817" customWidth="1"/>
    <col min="3" max="3" width="12.7109375" style="791" customWidth="1"/>
    <col min="4" max="4" width="0.42578125" style="791" customWidth="1"/>
    <col min="5" max="9" width="12.7109375" style="791" customWidth="1"/>
    <col min="10" max="10" width="0.42578125" style="791" customWidth="1"/>
    <col min="11" max="12" width="7.7109375" style="791" customWidth="1"/>
    <col min="13" max="13" width="4.7109375" style="791" customWidth="1"/>
    <col min="14" max="14" width="9.7109375" style="791" customWidth="1"/>
    <col min="15" max="15" width="17.7109375" style="791" bestFit="1" customWidth="1"/>
    <col min="16" max="16" width="9.7109375" style="791" customWidth="1"/>
    <col min="17" max="243" width="9.140625" style="791"/>
    <col min="244" max="246" width="3" style="791" customWidth="1"/>
    <col min="247" max="266" width="5.7109375" style="791" customWidth="1"/>
    <col min="267" max="267" width="13.85546875" style="791" customWidth="1"/>
    <col min="268" max="268" width="19.42578125" style="791" customWidth="1"/>
    <col min="269" max="499" width="9.140625" style="791"/>
    <col min="500" max="502" width="3" style="791" customWidth="1"/>
    <col min="503" max="522" width="5.7109375" style="791" customWidth="1"/>
    <col min="523" max="523" width="13.85546875" style="791" customWidth="1"/>
    <col min="524" max="524" width="19.42578125" style="791" customWidth="1"/>
    <col min="525" max="755" width="9.140625" style="791"/>
    <col min="756" max="758" width="3" style="791" customWidth="1"/>
    <col min="759" max="778" width="5.7109375" style="791" customWidth="1"/>
    <col min="779" max="779" width="13.85546875" style="791" customWidth="1"/>
    <col min="780" max="780" width="19.42578125" style="791" customWidth="1"/>
    <col min="781" max="1011" width="9.140625" style="791"/>
    <col min="1012" max="1014" width="3" style="791" customWidth="1"/>
    <col min="1015" max="1034" width="5.7109375" style="791" customWidth="1"/>
    <col min="1035" max="1035" width="13.85546875" style="791" customWidth="1"/>
    <col min="1036" max="1036" width="19.42578125" style="791" customWidth="1"/>
    <col min="1037" max="1267" width="9.140625" style="791"/>
    <col min="1268" max="1270" width="3" style="791" customWidth="1"/>
    <col min="1271" max="1290" width="5.7109375" style="791" customWidth="1"/>
    <col min="1291" max="1291" width="13.85546875" style="791" customWidth="1"/>
    <col min="1292" max="1292" width="19.42578125" style="791" customWidth="1"/>
    <col min="1293" max="1523" width="9.140625" style="791"/>
    <col min="1524" max="1526" width="3" style="791" customWidth="1"/>
    <col min="1527" max="1546" width="5.7109375" style="791" customWidth="1"/>
    <col min="1547" max="1547" width="13.85546875" style="791" customWidth="1"/>
    <col min="1548" max="1548" width="19.42578125" style="791" customWidth="1"/>
    <col min="1549" max="1779" width="9.140625" style="791"/>
    <col min="1780" max="1782" width="3" style="791" customWidth="1"/>
    <col min="1783" max="1802" width="5.7109375" style="791" customWidth="1"/>
    <col min="1803" max="1803" width="13.85546875" style="791" customWidth="1"/>
    <col min="1804" max="1804" width="19.42578125" style="791" customWidth="1"/>
    <col min="1805" max="2035" width="9.140625" style="791"/>
    <col min="2036" max="2038" width="3" style="791" customWidth="1"/>
    <col min="2039" max="2058" width="5.7109375" style="791" customWidth="1"/>
    <col min="2059" max="2059" width="13.85546875" style="791" customWidth="1"/>
    <col min="2060" max="2060" width="19.42578125" style="791" customWidth="1"/>
    <col min="2061" max="2291" width="9.140625" style="791"/>
    <col min="2292" max="2294" width="3" style="791" customWidth="1"/>
    <col min="2295" max="2314" width="5.7109375" style="791" customWidth="1"/>
    <col min="2315" max="2315" width="13.85546875" style="791" customWidth="1"/>
    <col min="2316" max="2316" width="19.42578125" style="791" customWidth="1"/>
    <col min="2317" max="2547" width="9.140625" style="791"/>
    <col min="2548" max="2550" width="3" style="791" customWidth="1"/>
    <col min="2551" max="2570" width="5.7109375" style="791" customWidth="1"/>
    <col min="2571" max="2571" width="13.85546875" style="791" customWidth="1"/>
    <col min="2572" max="2572" width="19.42578125" style="791" customWidth="1"/>
    <col min="2573" max="2803" width="9.140625" style="791"/>
    <col min="2804" max="2806" width="3" style="791" customWidth="1"/>
    <col min="2807" max="2826" width="5.7109375" style="791" customWidth="1"/>
    <col min="2827" max="2827" width="13.85546875" style="791" customWidth="1"/>
    <col min="2828" max="2828" width="19.42578125" style="791" customWidth="1"/>
    <col min="2829" max="3059" width="9.140625" style="791"/>
    <col min="3060" max="3062" width="3" style="791" customWidth="1"/>
    <col min="3063" max="3082" width="5.7109375" style="791" customWidth="1"/>
    <col min="3083" max="3083" width="13.85546875" style="791" customWidth="1"/>
    <col min="3084" max="3084" width="19.42578125" style="791" customWidth="1"/>
    <col min="3085" max="3315" width="9.140625" style="791"/>
    <col min="3316" max="3318" width="3" style="791" customWidth="1"/>
    <col min="3319" max="3338" width="5.7109375" style="791" customWidth="1"/>
    <col min="3339" max="3339" width="13.85546875" style="791" customWidth="1"/>
    <col min="3340" max="3340" width="19.42578125" style="791" customWidth="1"/>
    <col min="3341" max="3571" width="9.140625" style="791"/>
    <col min="3572" max="3574" width="3" style="791" customWidth="1"/>
    <col min="3575" max="3594" width="5.7109375" style="791" customWidth="1"/>
    <col min="3595" max="3595" width="13.85546875" style="791" customWidth="1"/>
    <col min="3596" max="3596" width="19.42578125" style="791" customWidth="1"/>
    <col min="3597" max="3827" width="9.140625" style="791"/>
    <col min="3828" max="3830" width="3" style="791" customWidth="1"/>
    <col min="3831" max="3850" width="5.7109375" style="791" customWidth="1"/>
    <col min="3851" max="3851" width="13.85546875" style="791" customWidth="1"/>
    <col min="3852" max="3852" width="19.42578125" style="791" customWidth="1"/>
    <col min="3853" max="4083" width="9.140625" style="791"/>
    <col min="4084" max="4086" width="3" style="791" customWidth="1"/>
    <col min="4087" max="4106" width="5.7109375" style="791" customWidth="1"/>
    <col min="4107" max="4107" width="13.85546875" style="791" customWidth="1"/>
    <col min="4108" max="4108" width="19.42578125" style="791" customWidth="1"/>
    <col min="4109" max="4339" width="9.140625" style="791"/>
    <col min="4340" max="4342" width="3" style="791" customWidth="1"/>
    <col min="4343" max="4362" width="5.7109375" style="791" customWidth="1"/>
    <col min="4363" max="4363" width="13.85546875" style="791" customWidth="1"/>
    <col min="4364" max="4364" width="19.42578125" style="791" customWidth="1"/>
    <col min="4365" max="4595" width="9.140625" style="791"/>
    <col min="4596" max="4598" width="3" style="791" customWidth="1"/>
    <col min="4599" max="4618" width="5.7109375" style="791" customWidth="1"/>
    <col min="4619" max="4619" width="13.85546875" style="791" customWidth="1"/>
    <col min="4620" max="4620" width="19.42578125" style="791" customWidth="1"/>
    <col min="4621" max="4851" width="9.140625" style="791"/>
    <col min="4852" max="4854" width="3" style="791" customWidth="1"/>
    <col min="4855" max="4874" width="5.7109375" style="791" customWidth="1"/>
    <col min="4875" max="4875" width="13.85546875" style="791" customWidth="1"/>
    <col min="4876" max="4876" width="19.42578125" style="791" customWidth="1"/>
    <col min="4877" max="5107" width="9.140625" style="791"/>
    <col min="5108" max="5110" width="3" style="791" customWidth="1"/>
    <col min="5111" max="5130" width="5.7109375" style="791" customWidth="1"/>
    <col min="5131" max="5131" width="13.85546875" style="791" customWidth="1"/>
    <col min="5132" max="5132" width="19.42578125" style="791" customWidth="1"/>
    <col min="5133" max="5363" width="9.140625" style="791"/>
    <col min="5364" max="5366" width="3" style="791" customWidth="1"/>
    <col min="5367" max="5386" width="5.7109375" style="791" customWidth="1"/>
    <col min="5387" max="5387" width="13.85546875" style="791" customWidth="1"/>
    <col min="5388" max="5388" width="19.42578125" style="791" customWidth="1"/>
    <col min="5389" max="5619" width="9.140625" style="791"/>
    <col min="5620" max="5622" width="3" style="791" customWidth="1"/>
    <col min="5623" max="5642" width="5.7109375" style="791" customWidth="1"/>
    <col min="5643" max="5643" width="13.85546875" style="791" customWidth="1"/>
    <col min="5644" max="5644" width="19.42578125" style="791" customWidth="1"/>
    <col min="5645" max="5875" width="9.140625" style="791"/>
    <col min="5876" max="5878" width="3" style="791" customWidth="1"/>
    <col min="5879" max="5898" width="5.7109375" style="791" customWidth="1"/>
    <col min="5899" max="5899" width="13.85546875" style="791" customWidth="1"/>
    <col min="5900" max="5900" width="19.42578125" style="791" customWidth="1"/>
    <col min="5901" max="6131" width="9.140625" style="791"/>
    <col min="6132" max="6134" width="3" style="791" customWidth="1"/>
    <col min="6135" max="6154" width="5.7109375" style="791" customWidth="1"/>
    <col min="6155" max="6155" width="13.85546875" style="791" customWidth="1"/>
    <col min="6156" max="6156" width="19.42578125" style="791" customWidth="1"/>
    <col min="6157" max="6387" width="9.140625" style="791"/>
    <col min="6388" max="6390" width="3" style="791" customWidth="1"/>
    <col min="6391" max="6410" width="5.7109375" style="791" customWidth="1"/>
    <col min="6411" max="6411" width="13.85546875" style="791" customWidth="1"/>
    <col min="6412" max="6412" width="19.42578125" style="791" customWidth="1"/>
    <col min="6413" max="6643" width="9.140625" style="791"/>
    <col min="6644" max="6646" width="3" style="791" customWidth="1"/>
    <col min="6647" max="6666" width="5.7109375" style="791" customWidth="1"/>
    <col min="6667" max="6667" width="13.85546875" style="791" customWidth="1"/>
    <col min="6668" max="6668" width="19.42578125" style="791" customWidth="1"/>
    <col min="6669" max="6899" width="9.140625" style="791"/>
    <col min="6900" max="6902" width="3" style="791" customWidth="1"/>
    <col min="6903" max="6922" width="5.7109375" style="791" customWidth="1"/>
    <col min="6923" max="6923" width="13.85546875" style="791" customWidth="1"/>
    <col min="6924" max="6924" width="19.42578125" style="791" customWidth="1"/>
    <col min="6925" max="7155" width="9.140625" style="791"/>
    <col min="7156" max="7158" width="3" style="791" customWidth="1"/>
    <col min="7159" max="7178" width="5.7109375" style="791" customWidth="1"/>
    <col min="7179" max="7179" width="13.85546875" style="791" customWidth="1"/>
    <col min="7180" max="7180" width="19.42578125" style="791" customWidth="1"/>
    <col min="7181" max="7411" width="9.140625" style="791"/>
    <col min="7412" max="7414" width="3" style="791" customWidth="1"/>
    <col min="7415" max="7434" width="5.7109375" style="791" customWidth="1"/>
    <col min="7435" max="7435" width="13.85546875" style="791" customWidth="1"/>
    <col min="7436" max="7436" width="19.42578125" style="791" customWidth="1"/>
    <col min="7437" max="7667" width="9.140625" style="791"/>
    <col min="7668" max="7670" width="3" style="791" customWidth="1"/>
    <col min="7671" max="7690" width="5.7109375" style="791" customWidth="1"/>
    <col min="7691" max="7691" width="13.85546875" style="791" customWidth="1"/>
    <col min="7692" max="7692" width="19.42578125" style="791" customWidth="1"/>
    <col min="7693" max="7923" width="9.140625" style="791"/>
    <col min="7924" max="7926" width="3" style="791" customWidth="1"/>
    <col min="7927" max="7946" width="5.7109375" style="791" customWidth="1"/>
    <col min="7947" max="7947" width="13.85546875" style="791" customWidth="1"/>
    <col min="7948" max="7948" width="19.42578125" style="791" customWidth="1"/>
    <col min="7949" max="8179" width="9.140625" style="791"/>
    <col min="8180" max="8182" width="3" style="791" customWidth="1"/>
    <col min="8183" max="8202" width="5.7109375" style="791" customWidth="1"/>
    <col min="8203" max="8203" width="13.85546875" style="791" customWidth="1"/>
    <col min="8204" max="8204" width="19.42578125" style="791" customWidth="1"/>
    <col min="8205" max="8435" width="9.140625" style="791"/>
    <col min="8436" max="8438" width="3" style="791" customWidth="1"/>
    <col min="8439" max="8458" width="5.7109375" style="791" customWidth="1"/>
    <col min="8459" max="8459" width="13.85546875" style="791" customWidth="1"/>
    <col min="8460" max="8460" width="19.42578125" style="791" customWidth="1"/>
    <col min="8461" max="8691" width="9.140625" style="791"/>
    <col min="8692" max="8694" width="3" style="791" customWidth="1"/>
    <col min="8695" max="8714" width="5.7109375" style="791" customWidth="1"/>
    <col min="8715" max="8715" width="13.85546875" style="791" customWidth="1"/>
    <col min="8716" max="8716" width="19.42578125" style="791" customWidth="1"/>
    <col min="8717" max="8947" width="9.140625" style="791"/>
    <col min="8948" max="8950" width="3" style="791" customWidth="1"/>
    <col min="8951" max="8970" width="5.7109375" style="791" customWidth="1"/>
    <col min="8971" max="8971" width="13.85546875" style="791" customWidth="1"/>
    <col min="8972" max="8972" width="19.42578125" style="791" customWidth="1"/>
    <col min="8973" max="9203" width="9.140625" style="791"/>
    <col min="9204" max="9206" width="3" style="791" customWidth="1"/>
    <col min="9207" max="9226" width="5.7109375" style="791" customWidth="1"/>
    <col min="9227" max="9227" width="13.85546875" style="791" customWidth="1"/>
    <col min="9228" max="9228" width="19.42578125" style="791" customWidth="1"/>
    <col min="9229" max="9459" width="9.140625" style="791"/>
    <col min="9460" max="9462" width="3" style="791" customWidth="1"/>
    <col min="9463" max="9482" width="5.7109375" style="791" customWidth="1"/>
    <col min="9483" max="9483" width="13.85546875" style="791" customWidth="1"/>
    <col min="9484" max="9484" width="19.42578125" style="791" customWidth="1"/>
    <col min="9485" max="9715" width="9.140625" style="791"/>
    <col min="9716" max="9718" width="3" style="791" customWidth="1"/>
    <col min="9719" max="9738" width="5.7109375" style="791" customWidth="1"/>
    <col min="9739" max="9739" width="13.85546875" style="791" customWidth="1"/>
    <col min="9740" max="9740" width="19.42578125" style="791" customWidth="1"/>
    <col min="9741" max="9971" width="9.140625" style="791"/>
    <col min="9972" max="9974" width="3" style="791" customWidth="1"/>
    <col min="9975" max="9994" width="5.7109375" style="791" customWidth="1"/>
    <col min="9995" max="9995" width="13.85546875" style="791" customWidth="1"/>
    <col min="9996" max="9996" width="19.42578125" style="791" customWidth="1"/>
    <col min="9997" max="10227" width="9.140625" style="791"/>
    <col min="10228" max="10230" width="3" style="791" customWidth="1"/>
    <col min="10231" max="10250" width="5.7109375" style="791" customWidth="1"/>
    <col min="10251" max="10251" width="13.85546875" style="791" customWidth="1"/>
    <col min="10252" max="10252" width="19.42578125" style="791" customWidth="1"/>
    <col min="10253" max="10483" width="9.140625" style="791"/>
    <col min="10484" max="10486" width="3" style="791" customWidth="1"/>
    <col min="10487" max="10506" width="5.7109375" style="791" customWidth="1"/>
    <col min="10507" max="10507" width="13.85546875" style="791" customWidth="1"/>
    <col min="10508" max="10508" width="19.42578125" style="791" customWidth="1"/>
    <col min="10509" max="10739" width="9.140625" style="791"/>
    <col min="10740" max="10742" width="3" style="791" customWidth="1"/>
    <col min="10743" max="10762" width="5.7109375" style="791" customWidth="1"/>
    <col min="10763" max="10763" width="13.85546875" style="791" customWidth="1"/>
    <col min="10764" max="10764" width="19.42578125" style="791" customWidth="1"/>
    <col min="10765" max="10995" width="9.140625" style="791"/>
    <col min="10996" max="10998" width="3" style="791" customWidth="1"/>
    <col min="10999" max="11018" width="5.7109375" style="791" customWidth="1"/>
    <col min="11019" max="11019" width="13.85546875" style="791" customWidth="1"/>
    <col min="11020" max="11020" width="19.42578125" style="791" customWidth="1"/>
    <col min="11021" max="11251" width="9.140625" style="791"/>
    <col min="11252" max="11254" width="3" style="791" customWidth="1"/>
    <col min="11255" max="11274" width="5.7109375" style="791" customWidth="1"/>
    <col min="11275" max="11275" width="13.85546875" style="791" customWidth="1"/>
    <col min="11276" max="11276" width="19.42578125" style="791" customWidth="1"/>
    <col min="11277" max="11507" width="9.140625" style="791"/>
    <col min="11508" max="11510" width="3" style="791" customWidth="1"/>
    <col min="11511" max="11530" width="5.7109375" style="791" customWidth="1"/>
    <col min="11531" max="11531" width="13.85546875" style="791" customWidth="1"/>
    <col min="11532" max="11532" width="19.42578125" style="791" customWidth="1"/>
    <col min="11533" max="11763" width="9.140625" style="791"/>
    <col min="11764" max="11766" width="3" style="791" customWidth="1"/>
    <col min="11767" max="11786" width="5.7109375" style="791" customWidth="1"/>
    <col min="11787" max="11787" width="13.85546875" style="791" customWidth="1"/>
    <col min="11788" max="11788" width="19.42578125" style="791" customWidth="1"/>
    <col min="11789" max="12019" width="9.140625" style="791"/>
    <col min="12020" max="12022" width="3" style="791" customWidth="1"/>
    <col min="12023" max="12042" width="5.7109375" style="791" customWidth="1"/>
    <col min="12043" max="12043" width="13.85546875" style="791" customWidth="1"/>
    <col min="12044" max="12044" width="19.42578125" style="791" customWidth="1"/>
    <col min="12045" max="12275" width="9.140625" style="791"/>
    <col min="12276" max="12278" width="3" style="791" customWidth="1"/>
    <col min="12279" max="12298" width="5.7109375" style="791" customWidth="1"/>
    <col min="12299" max="12299" width="13.85546875" style="791" customWidth="1"/>
    <col min="12300" max="12300" width="19.42578125" style="791" customWidth="1"/>
    <col min="12301" max="12531" width="9.140625" style="791"/>
    <col min="12532" max="12534" width="3" style="791" customWidth="1"/>
    <col min="12535" max="12554" width="5.7109375" style="791" customWidth="1"/>
    <col min="12555" max="12555" width="13.85546875" style="791" customWidth="1"/>
    <col min="12556" max="12556" width="19.42578125" style="791" customWidth="1"/>
    <col min="12557" max="12787" width="9.140625" style="791"/>
    <col min="12788" max="12790" width="3" style="791" customWidth="1"/>
    <col min="12791" max="12810" width="5.7109375" style="791" customWidth="1"/>
    <col min="12811" max="12811" width="13.85546875" style="791" customWidth="1"/>
    <col min="12812" max="12812" width="19.42578125" style="791" customWidth="1"/>
    <col min="12813" max="13043" width="9.140625" style="791"/>
    <col min="13044" max="13046" width="3" style="791" customWidth="1"/>
    <col min="13047" max="13066" width="5.7109375" style="791" customWidth="1"/>
    <col min="13067" max="13067" width="13.85546875" style="791" customWidth="1"/>
    <col min="13068" max="13068" width="19.42578125" style="791" customWidth="1"/>
    <col min="13069" max="13299" width="9.140625" style="791"/>
    <col min="13300" max="13302" width="3" style="791" customWidth="1"/>
    <col min="13303" max="13322" width="5.7109375" style="791" customWidth="1"/>
    <col min="13323" max="13323" width="13.85546875" style="791" customWidth="1"/>
    <col min="13324" max="13324" width="19.42578125" style="791" customWidth="1"/>
    <col min="13325" max="13555" width="9.140625" style="791"/>
    <col min="13556" max="13558" width="3" style="791" customWidth="1"/>
    <col min="13559" max="13578" width="5.7109375" style="791" customWidth="1"/>
    <col min="13579" max="13579" width="13.85546875" style="791" customWidth="1"/>
    <col min="13580" max="13580" width="19.42578125" style="791" customWidth="1"/>
    <col min="13581" max="13811" width="9.140625" style="791"/>
    <col min="13812" max="13814" width="3" style="791" customWidth="1"/>
    <col min="13815" max="13834" width="5.7109375" style="791" customWidth="1"/>
    <col min="13835" max="13835" width="13.85546875" style="791" customWidth="1"/>
    <col min="13836" max="13836" width="19.42578125" style="791" customWidth="1"/>
    <col min="13837" max="14067" width="9.140625" style="791"/>
    <col min="14068" max="14070" width="3" style="791" customWidth="1"/>
    <col min="14071" max="14090" width="5.7109375" style="791" customWidth="1"/>
    <col min="14091" max="14091" width="13.85546875" style="791" customWidth="1"/>
    <col min="14092" max="14092" width="19.42578125" style="791" customWidth="1"/>
    <col min="14093" max="14323" width="9.140625" style="791"/>
    <col min="14324" max="14326" width="3" style="791" customWidth="1"/>
    <col min="14327" max="14346" width="5.7109375" style="791" customWidth="1"/>
    <col min="14347" max="14347" width="13.85546875" style="791" customWidth="1"/>
    <col min="14348" max="14348" width="19.42578125" style="791" customWidth="1"/>
    <col min="14349" max="14579" width="9.140625" style="791"/>
    <col min="14580" max="14582" width="3" style="791" customWidth="1"/>
    <col min="14583" max="14602" width="5.7109375" style="791" customWidth="1"/>
    <col min="14603" max="14603" width="13.85546875" style="791" customWidth="1"/>
    <col min="14604" max="14604" width="19.42578125" style="791" customWidth="1"/>
    <col min="14605" max="14835" width="9.140625" style="791"/>
    <col min="14836" max="14838" width="3" style="791" customWidth="1"/>
    <col min="14839" max="14858" width="5.7109375" style="791" customWidth="1"/>
    <col min="14859" max="14859" width="13.85546875" style="791" customWidth="1"/>
    <col min="14860" max="14860" width="19.42578125" style="791" customWidth="1"/>
    <col min="14861" max="15091" width="9.140625" style="791"/>
    <col min="15092" max="15094" width="3" style="791" customWidth="1"/>
    <col min="15095" max="15114" width="5.7109375" style="791" customWidth="1"/>
    <col min="15115" max="15115" width="13.85546875" style="791" customWidth="1"/>
    <col min="15116" max="15116" width="19.42578125" style="791" customWidth="1"/>
    <col min="15117" max="15347" width="9.140625" style="791"/>
    <col min="15348" max="15350" width="3" style="791" customWidth="1"/>
    <col min="15351" max="15370" width="5.7109375" style="791" customWidth="1"/>
    <col min="15371" max="15371" width="13.85546875" style="791" customWidth="1"/>
    <col min="15372" max="15372" width="19.42578125" style="791" customWidth="1"/>
    <col min="15373" max="15603" width="9.140625" style="791"/>
    <col min="15604" max="15606" width="3" style="791" customWidth="1"/>
    <col min="15607" max="15626" width="5.7109375" style="791" customWidth="1"/>
    <col min="15627" max="15627" width="13.85546875" style="791" customWidth="1"/>
    <col min="15628" max="15628" width="19.42578125" style="791" customWidth="1"/>
    <col min="15629" max="15859" width="9.140625" style="791"/>
    <col min="15860" max="15862" width="3" style="791" customWidth="1"/>
    <col min="15863" max="15882" width="5.7109375" style="791" customWidth="1"/>
    <col min="15883" max="15883" width="13.85546875" style="791" customWidth="1"/>
    <col min="15884" max="15884" width="19.42578125" style="791" customWidth="1"/>
    <col min="15885" max="16115" width="9.140625" style="791"/>
    <col min="16116" max="16118" width="3" style="791" customWidth="1"/>
    <col min="16119" max="16138" width="5.7109375" style="791" customWidth="1"/>
    <col min="16139" max="16139" width="13.85546875" style="791" customWidth="1"/>
    <col min="16140" max="16140" width="19.42578125" style="791" customWidth="1"/>
    <col min="16141" max="16380" width="9.140625" style="791"/>
    <col min="16381" max="16384" width="8.85546875" style="791" customWidth="1"/>
  </cols>
  <sheetData>
    <row r="1" spans="1:16" ht="21">
      <c r="A1" s="789"/>
      <c r="B1" s="1054" t="s">
        <v>1135</v>
      </c>
      <c r="C1" s="790"/>
      <c r="D1" s="790"/>
      <c r="E1" s="790"/>
      <c r="L1" s="792"/>
    </row>
    <row r="2" spans="1:16" ht="6" customHeight="1">
      <c r="B2" s="793"/>
      <c r="F2" s="794"/>
      <c r="M2" s="794"/>
    </row>
    <row r="3" spans="1:16" ht="18" customHeight="1">
      <c r="B3" s="794"/>
      <c r="C3" s="794" t="s">
        <v>1136</v>
      </c>
      <c r="D3" s="794"/>
      <c r="E3" s="795"/>
      <c r="F3" s="796"/>
      <c r="G3" s="796"/>
      <c r="H3" s="796"/>
      <c r="I3" s="797"/>
      <c r="M3" s="794"/>
    </row>
    <row r="4" spans="1:16" ht="6" customHeight="1">
      <c r="B4" s="793"/>
      <c r="F4" s="794"/>
      <c r="M4" s="794"/>
    </row>
    <row r="5" spans="1:16" ht="12.75" thickBot="1">
      <c r="B5" s="793"/>
      <c r="D5" s="798"/>
      <c r="E5" s="799">
        <v>1</v>
      </c>
      <c r="F5" s="799">
        <v>2</v>
      </c>
      <c r="G5" s="799">
        <v>3</v>
      </c>
      <c r="H5" s="799">
        <v>4</v>
      </c>
      <c r="I5" s="799">
        <v>5</v>
      </c>
    </row>
    <row r="6" spans="1:16" s="800" customFormat="1" ht="18" customHeight="1" thickBot="1">
      <c r="B6" s="985" t="s">
        <v>1137</v>
      </c>
      <c r="C6" s="801"/>
      <c r="D6" s="802"/>
      <c r="E6" s="1365" t="s">
        <v>1138</v>
      </c>
      <c r="F6" s="1365"/>
      <c r="G6" s="1365"/>
      <c r="H6" s="1365"/>
      <c r="I6" s="1365"/>
      <c r="J6" s="803"/>
      <c r="K6" s="804"/>
      <c r="L6" s="798"/>
    </row>
    <row r="7" spans="1:16" s="800" customFormat="1" ht="3" customHeight="1">
      <c r="A7" s="805"/>
      <c r="B7" s="806"/>
      <c r="C7" s="806"/>
      <c r="D7" s="807"/>
      <c r="E7" s="808"/>
      <c r="F7" s="808"/>
      <c r="G7" s="808"/>
      <c r="H7" s="808"/>
      <c r="I7" s="808"/>
      <c r="J7" s="809"/>
      <c r="K7" s="810"/>
      <c r="L7" s="811"/>
    </row>
    <row r="8" spans="1:16" s="817" customFormat="1" ht="60.75" customHeight="1">
      <c r="A8" s="812"/>
      <c r="B8" s="981" t="s">
        <v>1139</v>
      </c>
      <c r="C8" s="982" t="s">
        <v>891</v>
      </c>
      <c r="D8" s="813"/>
      <c r="E8" s="983" t="s">
        <v>1140</v>
      </c>
      <c r="F8" s="983" t="s">
        <v>1141</v>
      </c>
      <c r="G8" s="983" t="s">
        <v>1142</v>
      </c>
      <c r="H8" s="977"/>
      <c r="I8" s="977"/>
      <c r="J8" s="814"/>
      <c r="K8" s="815" t="s">
        <v>1143</v>
      </c>
      <c r="L8" s="816" t="s">
        <v>1144</v>
      </c>
      <c r="N8" s="817" t="s">
        <v>792</v>
      </c>
      <c r="P8" s="818">
        <v>0</v>
      </c>
    </row>
    <row r="9" spans="1:16" ht="20.25" customHeight="1">
      <c r="A9" s="819">
        <v>1</v>
      </c>
      <c r="B9" s="978" t="s">
        <v>1145</v>
      </c>
      <c r="C9" s="980">
        <v>0</v>
      </c>
      <c r="D9" s="820"/>
      <c r="E9" s="821" t="s">
        <v>1146</v>
      </c>
      <c r="F9" s="821" t="s">
        <v>1146</v>
      </c>
      <c r="G9" s="821">
        <v>0</v>
      </c>
      <c r="H9" s="821"/>
      <c r="I9" s="821"/>
      <c r="J9" s="822"/>
      <c r="K9" s="823">
        <f>VLOOKUP(E9,N8:P11,3,FALSE)+VLOOKUP(F9,N8:P11,3,FALSE)+VLOOKUP(G9,N8:P11,3,FALSE)+VLOOKUP(H9,N8:P11,3,FALSE)+VLOOKUP(I9,N8:P11,3,FALSE)</f>
        <v>-2.0219999999999998</v>
      </c>
      <c r="L9" s="824">
        <f>IF(K9=0,"",RANK(K9,K9:K17,0))</f>
        <v>8</v>
      </c>
      <c r="N9" s="825" t="s">
        <v>1147</v>
      </c>
      <c r="O9" s="826" t="s">
        <v>1148</v>
      </c>
      <c r="P9" s="827">
        <v>1.01</v>
      </c>
    </row>
    <row r="10" spans="1:16" ht="20.25" customHeight="1">
      <c r="A10" s="819">
        <v>2</v>
      </c>
      <c r="B10" s="978" t="s">
        <v>1149</v>
      </c>
      <c r="C10" s="980">
        <v>0</v>
      </c>
      <c r="D10" s="822"/>
      <c r="E10" s="821" t="s">
        <v>1147</v>
      </c>
      <c r="F10" s="821">
        <v>0</v>
      </c>
      <c r="G10" s="821" t="s">
        <v>1146</v>
      </c>
      <c r="H10" s="821"/>
      <c r="I10" s="821"/>
      <c r="J10" s="822"/>
      <c r="K10" s="823">
        <f>VLOOKUP(E10,N8:P11,3,FALSE)+VLOOKUP(F10,N8:P11,3,FALSE)+VLOOKUP(G10,N8:P11,3,FALSE)+VLOOKUP(H10,N8:P11,3,FALSE)+VLOOKUP(I10,N8:P11,3,FALSE)</f>
        <v>-9.9999999999988987E-4</v>
      </c>
      <c r="L10" s="824">
        <f>IF(K10=0,"",RANK(K10,K9:K17,0))</f>
        <v>5</v>
      </c>
      <c r="N10" s="828">
        <v>0</v>
      </c>
      <c r="O10" s="826" t="s">
        <v>1150</v>
      </c>
      <c r="P10" s="827">
        <v>0</v>
      </c>
    </row>
    <row r="11" spans="1:16" ht="20.25" customHeight="1">
      <c r="A11" s="819">
        <v>3</v>
      </c>
      <c r="B11" s="978" t="s">
        <v>1151</v>
      </c>
      <c r="C11" s="980">
        <v>0</v>
      </c>
      <c r="D11" s="822"/>
      <c r="E11" s="821" t="s">
        <v>1146</v>
      </c>
      <c r="F11" s="821" t="s">
        <v>1146</v>
      </c>
      <c r="G11" s="821" t="s">
        <v>1147</v>
      </c>
      <c r="H11" s="821"/>
      <c r="I11" s="821"/>
      <c r="J11" s="822"/>
      <c r="K11" s="823">
        <f>VLOOKUP(E11,N8:P11,3,FALSE)+VLOOKUP(F11,N8:P11,3,FALSE)+VLOOKUP(G11,N8:P11,3,FALSE)+VLOOKUP(H11,N8:P11,3,FALSE)+VLOOKUP(I11,N8:P11,3,FALSE)</f>
        <v>-1.0119999999999998</v>
      </c>
      <c r="L11" s="824">
        <f>IF(K11=0,"",RANK(K11,K9:K17,0))</f>
        <v>7</v>
      </c>
      <c r="N11" s="829" t="s">
        <v>1146</v>
      </c>
      <c r="O11" s="826" t="s">
        <v>1152</v>
      </c>
      <c r="P11" s="830">
        <v>-1.0109999999999999</v>
      </c>
    </row>
    <row r="12" spans="1:16" ht="20.25" customHeight="1">
      <c r="A12" s="819">
        <v>4</v>
      </c>
      <c r="B12" s="978" t="s">
        <v>1153</v>
      </c>
      <c r="C12" s="980">
        <v>0</v>
      </c>
      <c r="D12" s="822"/>
      <c r="E12" s="821" t="s">
        <v>1147</v>
      </c>
      <c r="F12" s="821">
        <v>0</v>
      </c>
      <c r="G12" s="821" t="s">
        <v>1146</v>
      </c>
      <c r="H12" s="821"/>
      <c r="I12" s="821"/>
      <c r="J12" s="822"/>
      <c r="K12" s="823">
        <f>VLOOKUP(E12,N8:P11,3,FALSE)+VLOOKUP(F12,N8:P11,3,FALSE)+VLOOKUP(G12,N8:P11,3,FALSE)+VLOOKUP(H12,N8:P11,3,FALSE)+VLOOKUP(I12,N8:P11,3,FALSE)</f>
        <v>-9.9999999999988987E-4</v>
      </c>
      <c r="L12" s="824">
        <f>IF(K12=0,"",RANK(K12,K9:K17,0))</f>
        <v>5</v>
      </c>
      <c r="N12" s="831" t="s">
        <v>1154</v>
      </c>
      <c r="O12" s="831" t="s">
        <v>1155</v>
      </c>
      <c r="P12" s="831" t="s">
        <v>736</v>
      </c>
    </row>
    <row r="13" spans="1:16" ht="20.25" customHeight="1">
      <c r="A13" s="819">
        <v>5</v>
      </c>
      <c r="B13" s="978" t="s">
        <v>1156</v>
      </c>
      <c r="C13" s="980">
        <v>0</v>
      </c>
      <c r="D13" s="822"/>
      <c r="E13" s="821" t="s">
        <v>1146</v>
      </c>
      <c r="F13" s="821" t="s">
        <v>1146</v>
      </c>
      <c r="G13" s="821" t="s">
        <v>1146</v>
      </c>
      <c r="H13" s="821"/>
      <c r="I13" s="821"/>
      <c r="J13" s="822"/>
      <c r="K13" s="823">
        <f>VLOOKUP(E13,N8:P11,3,FALSE)+VLOOKUP(F13,N8:P11,3,FALSE)+VLOOKUP(G13,N8:P11,3,FALSE)+VLOOKUP(H13,N8:P11,3,FALSE)+VLOOKUP(I13,N8:P11,3,FALSE)</f>
        <v>-3.0329999999999995</v>
      </c>
      <c r="L13" s="824">
        <f>IF(K13=0,"",RANK(K13,K9:K17,0))</f>
        <v>9</v>
      </c>
      <c r="N13" s="832" t="s">
        <v>1157</v>
      </c>
    </row>
    <row r="14" spans="1:16" ht="20.25" customHeight="1">
      <c r="A14" s="819">
        <v>6</v>
      </c>
      <c r="B14" s="978" t="s">
        <v>1129</v>
      </c>
      <c r="C14" s="980">
        <v>0</v>
      </c>
      <c r="D14" s="822"/>
      <c r="E14" s="821" t="s">
        <v>1147</v>
      </c>
      <c r="F14" s="821">
        <v>0</v>
      </c>
      <c r="G14" s="821" t="s">
        <v>1147</v>
      </c>
      <c r="H14" s="821"/>
      <c r="I14" s="821"/>
      <c r="J14" s="822"/>
      <c r="K14" s="823">
        <f>VLOOKUP(E14,N8:P11,3,FALSE)+VLOOKUP(F14,N8:P11,3,FALSE)+VLOOKUP(G14,N8:P11,3,FALSE)+VLOOKUP(H14,N8:P11,3,FALSE)+VLOOKUP(I14,N8:P11,3,FALSE)</f>
        <v>2.02</v>
      </c>
      <c r="L14" s="824">
        <f>IF(K14=0,"",RANK(K14,K9:K17,0))</f>
        <v>1</v>
      </c>
      <c r="N14" s="833" t="s">
        <v>1158</v>
      </c>
    </row>
    <row r="15" spans="1:16" ht="20.25" customHeight="1">
      <c r="A15" s="819">
        <v>7</v>
      </c>
      <c r="B15" s="979"/>
      <c r="C15" s="980">
        <v>0</v>
      </c>
      <c r="D15" s="822"/>
      <c r="E15" s="821"/>
      <c r="F15" s="821"/>
      <c r="G15" s="821"/>
      <c r="H15" s="821"/>
      <c r="I15" s="821"/>
      <c r="J15" s="822"/>
      <c r="K15" s="823">
        <f>VLOOKUP(E15,N8:P11,3,FALSE)+VLOOKUP(F15,N8:P11,3,FALSE)+VLOOKUP(G15,N8:P11,3,FALSE)+VLOOKUP(H15,N8:P11,3,FALSE)+VLOOKUP(I15,N8:P11,3,FALSE)</f>
        <v>0</v>
      </c>
      <c r="L15" s="824"/>
      <c r="N15" s="833" t="s">
        <v>1159</v>
      </c>
    </row>
    <row r="16" spans="1:16" ht="20.25" customHeight="1">
      <c r="A16" s="819">
        <v>8</v>
      </c>
      <c r="B16" s="979"/>
      <c r="C16" s="980">
        <v>0</v>
      </c>
      <c r="D16" s="822"/>
      <c r="E16" s="821"/>
      <c r="F16" s="821"/>
      <c r="G16" s="821"/>
      <c r="H16" s="821"/>
      <c r="I16" s="821"/>
      <c r="J16" s="822"/>
      <c r="K16" s="823">
        <f>VLOOKUP(E16,N8:P11,3,FALSE)+VLOOKUP(F16,N8:P11,3,FALSE)+VLOOKUP(G16,N8:P11,3,FALSE)+VLOOKUP(H16,N8:P11,3,FALSE)+VLOOKUP(I16,N8:P11,3,FALSE)</f>
        <v>0</v>
      </c>
      <c r="L16" s="824" t="str">
        <f>IF(K16=0,"",RANK(K16,K9:K17,0))</f>
        <v/>
      </c>
      <c r="N16" s="833" t="s">
        <v>1160</v>
      </c>
    </row>
    <row r="17" spans="1:14" ht="20.25" customHeight="1">
      <c r="A17" s="819">
        <v>9</v>
      </c>
      <c r="B17" s="979"/>
      <c r="C17" s="980">
        <v>0</v>
      </c>
      <c r="D17" s="822"/>
      <c r="E17" s="821"/>
      <c r="F17" s="821"/>
      <c r="G17" s="821"/>
      <c r="H17" s="821"/>
      <c r="I17" s="821"/>
      <c r="J17" s="822"/>
      <c r="K17" s="823">
        <f>VLOOKUP(E17,N8:P11,3,FALSE)+VLOOKUP(F17,N8:P11,3,FALSE)+VLOOKUP(G17,N8:P11,3,FALSE)+VLOOKUP(H17,N8:P11,3,FALSE)+VLOOKUP(I17,N8:P11,3,FALSE)</f>
        <v>0</v>
      </c>
      <c r="L17" s="824" t="str">
        <f>IF(K17=0,"",RANK(K17,K9:K17,0))</f>
        <v/>
      </c>
      <c r="N17" s="833" t="s">
        <v>1161</v>
      </c>
    </row>
    <row r="18" spans="1:14" ht="3" customHeight="1" thickBot="1">
      <c r="A18" s="819"/>
      <c r="B18" s="834"/>
      <c r="C18" s="834"/>
      <c r="D18" s="835"/>
      <c r="E18" s="820"/>
      <c r="F18" s="820"/>
      <c r="G18" s="820"/>
      <c r="H18" s="820"/>
      <c r="I18" s="820"/>
      <c r="J18" s="835"/>
      <c r="K18" s="836"/>
      <c r="L18" s="837"/>
      <c r="N18" s="833"/>
    </row>
    <row r="19" spans="1:14" ht="18" customHeight="1">
      <c r="A19" s="789"/>
      <c r="B19" s="838"/>
      <c r="C19" s="838" t="s">
        <v>1162</v>
      </c>
      <c r="D19" s="839"/>
      <c r="E19" s="840">
        <f>IF(VLOOKUP(E9,N8:P11,3,FALSE)+VLOOKUP(E10,N8:P11,3,FALSE)+VLOOKUP(E11,N8:P11,3,FALSE)+VLOOKUP(E12,N8:P11,3,FALSE)+VLOOKUP(E13,N8:P11,3,FALSE)+VLOOKUP(E14,N8:P11,3,FALSE)+VLOOKUP(E15,N8:P11,3,FALSE)+VLOOKUP(E16,N8:P11,3,FALSE)+VLOOKUP(E17,N8:P11,3,FALSE)=0,"",VLOOKUP(E9,N8:P11,3,FALSE)+VLOOKUP(E10,N8:P11,3,FALSE)+VLOOKUP(E11,N8:P11,3,FALSE)+VLOOKUP(E12,N8:P11,3,FALSE)+VLOOKUP(E13,N8:P11,3,FALSE)+VLOOKUP(E14,N8:P11,3,FALSE)+VLOOKUP(E15,N8:P11,3,FALSE)+VLOOKUP(E16,N8:P11,3,FALSE)+VLOOKUP(E17,N8:P11,3,FALSE))</f>
        <v>-2.9999999999996696E-3</v>
      </c>
      <c r="F19" s="840">
        <f>IF(VLOOKUP(F9,N8:P11,3,FALSE)+VLOOKUP(F10,N8:P11,3,FALSE)+VLOOKUP(F11,N8:P11,3,FALSE)+VLOOKUP(F12,N8:P11,3,FALSE)+VLOOKUP(F13,N8:P11,3,FALSE)+VLOOKUP(F14,N8:P11,3,FALSE)+VLOOKUP(F15,N8:P11,3,FALSE)+VLOOKUP(F16,N8:P11,3,FALSE)+VLOOKUP(F17,N8:P11,3,FALSE)=0,"",VLOOKUP(F9,N8:P11,3,FALSE)+VLOOKUP(F10,N8:P11,3,FALSE)+VLOOKUP(F11,N8:P11,3,FALSE)+VLOOKUP(F12,N8:P11,3,FALSE)+VLOOKUP(F13,N8:P11,3,FALSE)+VLOOKUP(F14,N8:P11,3,FALSE)+VLOOKUP(F15,N8:P11,3,FALSE)+VLOOKUP(F16,N8:P11,3,FALSE)+VLOOKUP(F17,N8:P11,3,FALSE))</f>
        <v>-3.0329999999999995</v>
      </c>
      <c r="G19" s="840">
        <f>IF(VLOOKUP(G9,N8:P11,3,FALSE)+VLOOKUP(G10,N8:P11,3,FALSE)+VLOOKUP(G11,N8:P11,3,FALSE)+VLOOKUP(G12,N8:P11,3,FALSE)+VLOOKUP(G13,N8:P11,3,FALSE)+VLOOKUP(G14,N8:P11,3,FALSE)+VLOOKUP(G15,N8:P11,3,FALSE)+VLOOKUP(G16,N8:P11,3,FALSE)+VLOOKUP(G17,N8:P11,3,FALSE)=0,"",VLOOKUP(G9,N8:P11,3,FALSE)+VLOOKUP(G10,N8:P11,3,FALSE)+VLOOKUP(G11,N8:P11,3,FALSE)+VLOOKUP(G12,N8:P11,3,FALSE)+VLOOKUP(G13,N8:P11,3,FALSE)+VLOOKUP(G14,N8:P11,3,FALSE)+VLOOKUP(G15,N8:P11,3,FALSE)+VLOOKUP(G16,N8:P11,3,FALSE)+VLOOKUP(G17,N8:P11,3,FALSE))</f>
        <v>-1.0129999999999997</v>
      </c>
      <c r="H19" s="840" t="str">
        <f>IF(VLOOKUP(H9,N8:P11,3,FALSE)+VLOOKUP(H10,N8:P11,3,FALSE)+VLOOKUP(H11,N8:P11,3,FALSE)+VLOOKUP(H12,N8:P11,3,FALSE)+VLOOKUP(H13,N8:P11,3,FALSE)+VLOOKUP(H14,N8:P11,3,FALSE)+VLOOKUP(H15,N8:P11,3,FALSE)+VLOOKUP(H16,N8:P11,3,FALSE)+VLOOKUP(H17,N8:P11,3,FALSE)=0,"",VLOOKUP(H9,N8:P11,3,FALSE)+VLOOKUP(H10,N8:P11,3,FALSE)+VLOOKUP(H11,N8:P11,3,FALSE)+VLOOKUP(H12,N8:P11,3,FALSE)+VLOOKUP(H13,N8:P11,3,FALSE)+VLOOKUP(H14,N8:P11,3,FALSE)+VLOOKUP(H15,N8:P11,3,FALSE)+VLOOKUP(H16,N8:P11,3,FALSE)+VLOOKUP(H17,N8:P11,3,FALSE))</f>
        <v/>
      </c>
      <c r="I19" s="840" t="str">
        <f>IF(VLOOKUP(I9,N8:P11,3,FALSE)+VLOOKUP(I10,N8:P11,3,FALSE)+VLOOKUP(I11,N8:P11,3,FALSE)+VLOOKUP(I12,N8:P11,3,FALSE)+VLOOKUP(I13,N8:P11,3,FALSE)+VLOOKUP(I14,N8:P11,3,FALSE)+VLOOKUP(I15,N8:P11,3,FALSE)+VLOOKUP(I16,N8:P11,3,FALSE)+VLOOKUP(I17,N8:P11,3,FALSE)=0,"",VLOOKUP(I9,N8:P11,3,FALSE)+VLOOKUP(I10,N8:P11,3,FALSE)+VLOOKUP(I11,N8:P11,3,FALSE)+VLOOKUP(I12,N8:P11,3,FALSE)+VLOOKUP(I13,N8:P11,3,FALSE)+VLOOKUP(I14,N8:P11,3,FALSE)+VLOOKUP(I15,N8:P11,3,FALSE)+VLOOKUP(I16,N8:P11,3,FALSE)+VLOOKUP(I17,N8:P11,3,FALSE))</f>
        <v/>
      </c>
      <c r="J19" s="841"/>
      <c r="N19" s="842" t="s">
        <v>1163</v>
      </c>
    </row>
    <row r="20" spans="1:14" ht="18" customHeight="1" thickBot="1">
      <c r="A20" s="789"/>
      <c r="B20" s="794"/>
      <c r="C20" s="794" t="s">
        <v>1164</v>
      </c>
      <c r="D20" s="843"/>
      <c r="E20" s="844">
        <f>IF(OR(E19=0,E19=""),"",RANK(E19,E19:I19,0))</f>
        <v>1</v>
      </c>
      <c r="F20" s="844">
        <f>IF(OR(F19=0,F19=""),"",RANK(F19,E19:I19,0))</f>
        <v>3</v>
      </c>
      <c r="G20" s="844">
        <f>IF(OR(G19=0,G19=""),"",RANK(G19,E19:I19,0))</f>
        <v>2</v>
      </c>
      <c r="H20" s="844" t="str">
        <f>IF(OR(H19=0,H19=""),"",RANK(H19,E19:I19,0))</f>
        <v/>
      </c>
      <c r="I20" s="844" t="str">
        <f>IF(OR(I19=0,I19=""),"",RANK(I19,E19:I19,0))</f>
        <v/>
      </c>
      <c r="J20" s="845"/>
      <c r="N20" s="846" t="s">
        <v>1165</v>
      </c>
    </row>
    <row r="21" spans="1:14" ht="12.75" customHeight="1">
      <c r="N21" s="847"/>
    </row>
    <row r="22" spans="1:14" ht="12.75" customHeight="1">
      <c r="B22" s="984" t="s">
        <v>1166</v>
      </c>
      <c r="N22" s="848"/>
    </row>
    <row r="23" spans="1:14" ht="12.75" customHeight="1">
      <c r="B23" s="849"/>
      <c r="C23" s="850"/>
      <c r="D23" s="850"/>
      <c r="E23" s="850"/>
      <c r="F23" s="850"/>
      <c r="G23" s="850"/>
      <c r="H23" s="850"/>
      <c r="I23" s="850"/>
      <c r="J23" s="850"/>
      <c r="K23" s="850"/>
      <c r="L23" s="851"/>
      <c r="N23" s="847"/>
    </row>
    <row r="24" spans="1:14" ht="12.75" customHeight="1">
      <c r="B24" s="852"/>
      <c r="C24" s="853"/>
      <c r="D24" s="853"/>
      <c r="E24" s="853"/>
      <c r="F24" s="853"/>
      <c r="G24" s="853"/>
      <c r="H24" s="853"/>
      <c r="I24" s="853"/>
      <c r="J24" s="853"/>
      <c r="K24" s="853"/>
      <c r="L24" s="854"/>
      <c r="N24" s="847"/>
    </row>
    <row r="25" spans="1:14" ht="12.75" customHeight="1">
      <c r="B25" s="855"/>
      <c r="C25" s="856"/>
      <c r="D25" s="856"/>
      <c r="E25" s="856"/>
      <c r="F25" s="856"/>
      <c r="G25" s="856"/>
      <c r="H25" s="856"/>
      <c r="I25" s="856"/>
      <c r="J25" s="856"/>
      <c r="K25" s="856"/>
      <c r="L25" s="857"/>
      <c r="N25" s="848"/>
    </row>
    <row r="26" spans="1:14" ht="12.75" customHeight="1"/>
    <row r="27" spans="1:14" ht="12.75" customHeight="1"/>
    <row r="28" spans="1:14" ht="12.75" customHeight="1"/>
    <row r="29" spans="1:14" ht="12.75" customHeight="1"/>
    <row r="30" spans="1:14" ht="12.75" customHeight="1"/>
    <row r="31" spans="1:14" ht="12.75" customHeight="1"/>
    <row r="32" spans="1:14"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sheetData>
  <mergeCells count="1">
    <mergeCell ref="E6:I6"/>
  </mergeCells>
  <conditionalFormatting sqref="E9:I17">
    <cfRule type="cellIs" dxfId="5" priority="1" operator="equal">
      <formula>"−"</formula>
    </cfRule>
    <cfRule type="cellIs" dxfId="4" priority="2" operator="equal">
      <formula>"+"</formula>
    </cfRule>
  </conditionalFormatting>
  <conditionalFormatting sqref="E19:I19">
    <cfRule type="cellIs" dxfId="3" priority="6" operator="equal">
      <formula>0</formula>
    </cfRule>
  </conditionalFormatting>
  <conditionalFormatting sqref="E20:I20">
    <cfRule type="cellIs" dxfId="2" priority="3" operator="equal">
      <formula>1</formula>
    </cfRule>
  </conditionalFormatting>
  <conditionalFormatting sqref="K9:K17">
    <cfRule type="cellIs" dxfId="1" priority="5" operator="equal">
      <formula>0</formula>
    </cfRule>
  </conditionalFormatting>
  <conditionalFormatting sqref="L9:L17">
    <cfRule type="cellIs" dxfId="0" priority="4" operator="equal">
      <formula>1</formula>
    </cfRule>
  </conditionalFormatting>
  <dataValidations count="1">
    <dataValidation type="list" allowBlank="1" showInputMessage="1" showErrorMessage="1" sqref="E9:I17" xr:uid="{50AB38B3-9861-4BAB-A615-16069746CA8E}">
      <formula1>$N$8:$N$11</formula1>
    </dataValidation>
  </dataValidations>
  <pageMargins left="0.70866141732283472" right="0.70866141732283472" top="0.74803149606299213" bottom="0.74803149606299213" header="0.31496062992125984" footer="0.31496062992125984"/>
  <pageSetup paperSize="9" scale="97" orientation="landscape" horizontalDpi="4294967293"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C6B8B-DCF9-4F50-8E67-5A30555AA966}">
  <sheetPr>
    <pageSetUpPr fitToPage="1"/>
  </sheetPr>
  <dimension ref="A1:Q69"/>
  <sheetViews>
    <sheetView zoomScale="70" zoomScaleNormal="70" workbookViewId="0">
      <selection activeCell="D3" sqref="D3"/>
    </sheetView>
  </sheetViews>
  <sheetFormatPr defaultColWidth="8.7109375" defaultRowHeight="15.75"/>
  <cols>
    <col min="1" max="1" width="27.28515625" style="224" customWidth="1"/>
    <col min="2" max="3" width="18.28515625" style="213" customWidth="1"/>
    <col min="4" max="4" width="13.7109375" style="215" customWidth="1"/>
    <col min="5" max="5" width="18.28515625" style="213" customWidth="1"/>
    <col min="6" max="6" width="12.28515625" style="215" customWidth="1"/>
    <col min="7" max="7" width="21.42578125" style="213" customWidth="1"/>
    <col min="8" max="8" width="13.28515625" style="215" customWidth="1"/>
    <col min="9" max="9" width="9.42578125" style="213" customWidth="1"/>
    <col min="10" max="10" width="20.7109375" style="213" customWidth="1"/>
    <col min="11" max="11" width="10.7109375" style="213" customWidth="1"/>
    <col min="12" max="12" width="8.7109375" style="213"/>
    <col min="13" max="13" width="13.7109375" style="213" customWidth="1"/>
    <col min="14" max="16384" width="8.7109375" style="213"/>
  </cols>
  <sheetData>
    <row r="1" spans="1:17" ht="21">
      <c r="A1" s="1055" t="s">
        <v>1167</v>
      </c>
      <c r="B1" s="230"/>
      <c r="C1" s="230"/>
      <c r="D1" s="231"/>
      <c r="E1" s="230"/>
      <c r="F1" s="231" t="s">
        <v>1168</v>
      </c>
      <c r="G1" s="230"/>
      <c r="H1" s="231" t="s">
        <v>1169</v>
      </c>
      <c r="I1" s="230"/>
      <c r="J1" s="230"/>
      <c r="K1" s="230"/>
      <c r="L1" s="230"/>
      <c r="M1" s="230"/>
      <c r="N1" s="230"/>
      <c r="O1" s="230"/>
      <c r="P1" s="230"/>
      <c r="Q1" s="230"/>
    </row>
    <row r="2" spans="1:17" ht="20.25" customHeight="1">
      <c r="A2" s="862"/>
      <c r="B2" s="863"/>
      <c r="C2" s="863"/>
      <c r="D2" s="864"/>
      <c r="E2" s="863"/>
      <c r="F2" s="864" t="s">
        <v>1170</v>
      </c>
      <c r="G2" s="863"/>
      <c r="H2" s="864" t="s">
        <v>1171</v>
      </c>
      <c r="I2" s="863"/>
      <c r="J2" s="863"/>
      <c r="K2" s="863"/>
      <c r="L2" s="863"/>
      <c r="M2" s="863"/>
      <c r="N2" s="863"/>
      <c r="O2" s="863"/>
      <c r="P2" s="863"/>
      <c r="Q2" s="863"/>
    </row>
    <row r="3" spans="1:17" s="214" customFormat="1" ht="30" customHeight="1">
      <c r="A3" s="865" t="s">
        <v>1172</v>
      </c>
      <c r="B3" s="866" t="s">
        <v>1173</v>
      </c>
      <c r="C3" s="866" t="s">
        <v>1174</v>
      </c>
      <c r="D3" s="866" t="s">
        <v>1175</v>
      </c>
      <c r="E3" s="866" t="s">
        <v>1176</v>
      </c>
      <c r="F3" s="866" t="s">
        <v>1177</v>
      </c>
      <c r="G3" s="866" t="s">
        <v>1178</v>
      </c>
      <c r="H3" s="866" t="s">
        <v>1179</v>
      </c>
      <c r="I3" s="867" t="s">
        <v>1180</v>
      </c>
      <c r="J3" s="709" t="s">
        <v>1181</v>
      </c>
      <c r="K3" s="1366" t="s">
        <v>1182</v>
      </c>
      <c r="L3" s="1367"/>
      <c r="M3" s="1367"/>
      <c r="N3" s="1367"/>
      <c r="O3" s="1367"/>
      <c r="P3" s="1367"/>
      <c r="Q3" s="1367"/>
    </row>
    <row r="4" spans="1:17" s="225" customFormat="1" ht="77.25" thickBot="1">
      <c r="A4" s="868" t="s">
        <v>1183</v>
      </c>
      <c r="B4" s="869" t="s">
        <v>1184</v>
      </c>
      <c r="C4" s="869" t="s">
        <v>1185</v>
      </c>
      <c r="D4" s="869" t="s">
        <v>1186</v>
      </c>
      <c r="E4" s="869" t="s">
        <v>1187</v>
      </c>
      <c r="F4" s="869" t="s">
        <v>1188</v>
      </c>
      <c r="G4" s="869" t="s">
        <v>1189</v>
      </c>
      <c r="H4" s="869" t="s">
        <v>1190</v>
      </c>
      <c r="I4" s="870" t="s">
        <v>1191</v>
      </c>
      <c r="J4" s="871" t="s">
        <v>1192</v>
      </c>
      <c r="K4" s="872" t="s">
        <v>1193</v>
      </c>
      <c r="L4" s="872" t="s">
        <v>1194</v>
      </c>
      <c r="M4" s="872" t="s">
        <v>1195</v>
      </c>
      <c r="N4" s="873" t="s">
        <v>1175</v>
      </c>
      <c r="O4" s="873" t="s">
        <v>1177</v>
      </c>
      <c r="P4" s="873" t="s">
        <v>1179</v>
      </c>
      <c r="Q4" s="874" t="s">
        <v>1196</v>
      </c>
    </row>
    <row r="5" spans="1:17" ht="34.15" customHeight="1">
      <c r="A5" s="216" t="s">
        <v>1197</v>
      </c>
      <c r="B5" s="217" t="s">
        <v>1198</v>
      </c>
      <c r="C5" s="217" t="s">
        <v>1199</v>
      </c>
      <c r="D5" s="226">
        <v>5</v>
      </c>
      <c r="E5" s="217" t="s">
        <v>1200</v>
      </c>
      <c r="F5" s="226">
        <v>5</v>
      </c>
      <c r="G5" s="217" t="s">
        <v>1201</v>
      </c>
      <c r="H5" s="226">
        <v>5</v>
      </c>
      <c r="I5" s="875">
        <f t="shared" ref="I5:I69" si="0">H5*F5*D5</f>
        <v>125</v>
      </c>
      <c r="J5" s="217"/>
      <c r="K5" s="218"/>
      <c r="L5" s="218"/>
      <c r="M5" s="218"/>
      <c r="N5" s="228"/>
      <c r="O5" s="228"/>
      <c r="P5" s="228"/>
      <c r="Q5" s="876">
        <f>N5*O5*P5</f>
        <v>0</v>
      </c>
    </row>
    <row r="6" spans="1:17" ht="34.15" customHeight="1">
      <c r="A6" s="216" t="s">
        <v>1197</v>
      </c>
      <c r="B6" s="217" t="s">
        <v>1202</v>
      </c>
      <c r="C6" s="217" t="s">
        <v>1203</v>
      </c>
      <c r="D6" s="226">
        <v>5</v>
      </c>
      <c r="E6" s="217" t="s">
        <v>1204</v>
      </c>
      <c r="F6" s="226">
        <v>6</v>
      </c>
      <c r="G6" s="217" t="s">
        <v>1205</v>
      </c>
      <c r="H6" s="226">
        <v>8</v>
      </c>
      <c r="I6" s="875">
        <f t="shared" ref="I6:I7" si="1">H6*F6*D6</f>
        <v>240</v>
      </c>
      <c r="J6" s="217"/>
      <c r="K6" s="218"/>
      <c r="L6" s="218"/>
      <c r="M6" s="218"/>
      <c r="N6" s="228"/>
      <c r="O6" s="228"/>
      <c r="P6" s="228"/>
      <c r="Q6" s="876">
        <f>N6*O6*P6</f>
        <v>0</v>
      </c>
    </row>
    <row r="7" spans="1:17" ht="34.15" customHeight="1">
      <c r="A7" s="216" t="s">
        <v>1197</v>
      </c>
      <c r="B7" s="217" t="s">
        <v>1202</v>
      </c>
      <c r="C7" s="217" t="s">
        <v>1206</v>
      </c>
      <c r="D7" s="226">
        <v>5</v>
      </c>
      <c r="E7" s="217" t="s">
        <v>1207</v>
      </c>
      <c r="F7" s="226">
        <v>2</v>
      </c>
      <c r="G7" s="217"/>
      <c r="H7" s="226">
        <v>5</v>
      </c>
      <c r="I7" s="875">
        <f t="shared" si="1"/>
        <v>50</v>
      </c>
      <c r="J7" s="217"/>
      <c r="K7" s="218"/>
      <c r="L7" s="218"/>
      <c r="M7" s="218"/>
      <c r="N7" s="228"/>
      <c r="O7" s="228"/>
      <c r="P7" s="228"/>
      <c r="Q7" s="876">
        <f>N7*O7*P7</f>
        <v>0</v>
      </c>
    </row>
    <row r="8" spans="1:17" ht="34.15" customHeight="1">
      <c r="A8" s="216" t="s">
        <v>1197</v>
      </c>
      <c r="B8" s="217" t="s">
        <v>1202</v>
      </c>
      <c r="C8" s="217" t="s">
        <v>1208</v>
      </c>
      <c r="D8" s="226">
        <v>5</v>
      </c>
      <c r="E8" s="217" t="s">
        <v>1209</v>
      </c>
      <c r="F8" s="226">
        <v>2</v>
      </c>
      <c r="G8" s="217"/>
      <c r="H8" s="226">
        <v>5</v>
      </c>
      <c r="I8" s="875">
        <f t="shared" ref="I8" si="2">H8*F8*D8</f>
        <v>50</v>
      </c>
      <c r="J8" s="217"/>
      <c r="K8" s="218"/>
      <c r="L8" s="218"/>
      <c r="M8" s="218"/>
      <c r="N8" s="228"/>
      <c r="O8" s="228"/>
      <c r="P8" s="228"/>
      <c r="Q8" s="876">
        <f>N8*O8*P8</f>
        <v>0</v>
      </c>
    </row>
    <row r="9" spans="1:17" ht="34.15" customHeight="1">
      <c r="A9" s="216" t="s">
        <v>1197</v>
      </c>
      <c r="B9" s="217" t="s">
        <v>1202</v>
      </c>
      <c r="C9" s="217" t="s">
        <v>1203</v>
      </c>
      <c r="D9" s="226">
        <v>5</v>
      </c>
      <c r="E9" s="217" t="s">
        <v>1210</v>
      </c>
      <c r="F9" s="226">
        <v>2</v>
      </c>
      <c r="G9" s="217" t="s">
        <v>1211</v>
      </c>
      <c r="H9" s="226">
        <v>5</v>
      </c>
      <c r="I9" s="875">
        <f t="shared" ref="I9" si="3">H9*F9*D9</f>
        <v>50</v>
      </c>
      <c r="J9" s="217"/>
      <c r="K9" s="218"/>
      <c r="L9" s="218"/>
      <c r="M9" s="218"/>
      <c r="N9" s="228"/>
      <c r="O9" s="228"/>
      <c r="P9" s="228"/>
      <c r="Q9" s="876">
        <f>N9*O9*P9</f>
        <v>0</v>
      </c>
    </row>
    <row r="10" spans="1:17" ht="34.15" customHeight="1">
      <c r="A10" s="216" t="s">
        <v>1212</v>
      </c>
      <c r="B10" s="219" t="s">
        <v>1213</v>
      </c>
      <c r="C10" s="219"/>
      <c r="D10" s="227">
        <v>4</v>
      </c>
      <c r="E10" s="219"/>
      <c r="F10" s="227">
        <v>1</v>
      </c>
      <c r="G10" s="219"/>
      <c r="H10" s="227">
        <v>10</v>
      </c>
      <c r="I10" s="875">
        <f t="shared" si="0"/>
        <v>40</v>
      </c>
      <c r="J10" s="219"/>
      <c r="K10" s="220"/>
      <c r="L10" s="220"/>
      <c r="M10" s="220"/>
      <c r="N10" s="229"/>
      <c r="O10" s="229"/>
      <c r="P10" s="229"/>
      <c r="Q10" s="877">
        <f t="shared" ref="Q10:Q69" si="4">N10*O10*P10</f>
        <v>0</v>
      </c>
    </row>
    <row r="11" spans="1:17" ht="18" customHeight="1">
      <c r="A11" s="216"/>
      <c r="B11" s="219" t="s">
        <v>1214</v>
      </c>
      <c r="C11" s="219"/>
      <c r="D11" s="227">
        <v>5</v>
      </c>
      <c r="E11" s="993"/>
      <c r="F11" s="227">
        <v>2</v>
      </c>
      <c r="G11" s="219"/>
      <c r="H11" s="227">
        <v>9</v>
      </c>
      <c r="I11" s="875">
        <f t="shared" si="0"/>
        <v>90</v>
      </c>
      <c r="J11" s="219"/>
      <c r="K11" s="220"/>
      <c r="L11" s="220"/>
      <c r="M11" s="220"/>
      <c r="N11" s="229"/>
      <c r="O11" s="229"/>
      <c r="P11" s="229"/>
      <c r="Q11" s="877">
        <f t="shared" si="4"/>
        <v>0</v>
      </c>
    </row>
    <row r="12" spans="1:17" ht="18" customHeight="1">
      <c r="A12" s="216"/>
      <c r="B12" s="219" t="s">
        <v>1215</v>
      </c>
      <c r="C12" s="219"/>
      <c r="D12" s="227">
        <v>6</v>
      </c>
      <c r="E12" s="219"/>
      <c r="F12" s="227">
        <v>3</v>
      </c>
      <c r="G12" s="219"/>
      <c r="H12" s="227">
        <v>8</v>
      </c>
      <c r="I12" s="875">
        <f t="shared" si="0"/>
        <v>144</v>
      </c>
      <c r="J12" s="219"/>
      <c r="K12" s="220"/>
      <c r="L12" s="220"/>
      <c r="M12" s="220"/>
      <c r="N12" s="229"/>
      <c r="O12" s="229"/>
      <c r="P12" s="229"/>
      <c r="Q12" s="877">
        <f t="shared" si="4"/>
        <v>0</v>
      </c>
    </row>
    <row r="13" spans="1:17" ht="18" customHeight="1">
      <c r="A13" s="221"/>
      <c r="B13" s="219" t="s">
        <v>1216</v>
      </c>
      <c r="C13" s="219"/>
      <c r="D13" s="227">
        <v>7</v>
      </c>
      <c r="E13" s="219"/>
      <c r="F13" s="227">
        <v>4</v>
      </c>
      <c r="G13" s="219"/>
      <c r="H13" s="227">
        <v>7</v>
      </c>
      <c r="I13" s="875">
        <f t="shared" si="0"/>
        <v>196</v>
      </c>
      <c r="J13" s="219" t="s">
        <v>1217</v>
      </c>
      <c r="K13" s="220"/>
      <c r="L13" s="220"/>
      <c r="M13" s="220"/>
      <c r="N13" s="229"/>
      <c r="O13" s="229"/>
      <c r="P13" s="229"/>
      <c r="Q13" s="877">
        <f t="shared" si="4"/>
        <v>0</v>
      </c>
    </row>
    <row r="14" spans="1:17" ht="18" customHeight="1">
      <c r="A14" s="222"/>
      <c r="B14" s="219" t="s">
        <v>1218</v>
      </c>
      <c r="C14" s="219"/>
      <c r="D14" s="227">
        <v>8</v>
      </c>
      <c r="E14" s="219"/>
      <c r="F14" s="227">
        <v>5</v>
      </c>
      <c r="G14" s="219"/>
      <c r="H14" s="227">
        <v>6</v>
      </c>
      <c r="I14" s="875">
        <f t="shared" si="0"/>
        <v>240</v>
      </c>
      <c r="J14" s="219" t="s">
        <v>1217</v>
      </c>
      <c r="K14" s="220"/>
      <c r="L14" s="220"/>
      <c r="M14" s="220"/>
      <c r="N14" s="229"/>
      <c r="O14" s="229"/>
      <c r="P14" s="229"/>
      <c r="Q14" s="877">
        <f t="shared" si="4"/>
        <v>0</v>
      </c>
    </row>
    <row r="15" spans="1:17" ht="18" customHeight="1">
      <c r="A15" s="221"/>
      <c r="B15" s="219" t="s">
        <v>1219</v>
      </c>
      <c r="C15" s="219"/>
      <c r="D15" s="227">
        <v>9</v>
      </c>
      <c r="E15" s="219"/>
      <c r="F15" s="227">
        <v>6</v>
      </c>
      <c r="G15" s="219"/>
      <c r="H15" s="227">
        <v>5</v>
      </c>
      <c r="I15" s="875">
        <f t="shared" si="0"/>
        <v>270</v>
      </c>
      <c r="J15" s="219" t="s">
        <v>1217</v>
      </c>
      <c r="K15" s="220"/>
      <c r="L15" s="220"/>
      <c r="M15" s="220"/>
      <c r="N15" s="229"/>
      <c r="O15" s="229"/>
      <c r="P15" s="229"/>
      <c r="Q15" s="877">
        <f t="shared" si="4"/>
        <v>0</v>
      </c>
    </row>
    <row r="16" spans="1:17" ht="18" customHeight="1">
      <c r="A16" s="221"/>
      <c r="B16" s="219" t="s">
        <v>1220</v>
      </c>
      <c r="C16" s="219"/>
      <c r="D16" s="227">
        <v>1</v>
      </c>
      <c r="E16" s="219"/>
      <c r="F16" s="227">
        <v>7</v>
      </c>
      <c r="G16" s="219"/>
      <c r="H16" s="227">
        <v>4</v>
      </c>
      <c r="I16" s="875">
        <f t="shared" si="0"/>
        <v>28</v>
      </c>
      <c r="J16" s="219"/>
      <c r="K16" s="220"/>
      <c r="L16" s="220"/>
      <c r="M16" s="220"/>
      <c r="N16" s="229"/>
      <c r="O16" s="229"/>
      <c r="P16" s="229"/>
      <c r="Q16" s="877">
        <f t="shared" si="4"/>
        <v>0</v>
      </c>
    </row>
    <row r="17" spans="1:17" ht="18" customHeight="1">
      <c r="A17" s="221"/>
      <c r="B17" s="219" t="s">
        <v>1221</v>
      </c>
      <c r="C17" s="219"/>
      <c r="D17" s="227">
        <v>2</v>
      </c>
      <c r="E17" s="219"/>
      <c r="F17" s="227">
        <v>8</v>
      </c>
      <c r="G17" s="219"/>
      <c r="H17" s="227">
        <v>3</v>
      </c>
      <c r="I17" s="875">
        <f t="shared" si="0"/>
        <v>48</v>
      </c>
      <c r="J17" s="219"/>
      <c r="K17" s="220"/>
      <c r="L17" s="220"/>
      <c r="M17" s="220"/>
      <c r="N17" s="229"/>
      <c r="O17" s="229"/>
      <c r="P17" s="229"/>
      <c r="Q17" s="877">
        <f t="shared" si="4"/>
        <v>0</v>
      </c>
    </row>
    <row r="18" spans="1:17" ht="18" customHeight="1">
      <c r="A18" s="221"/>
      <c r="B18" s="219" t="s">
        <v>1222</v>
      </c>
      <c r="C18" s="219"/>
      <c r="D18" s="227">
        <v>3</v>
      </c>
      <c r="E18" s="219"/>
      <c r="F18" s="227">
        <v>9</v>
      </c>
      <c r="G18" s="219"/>
      <c r="H18" s="227">
        <v>2</v>
      </c>
      <c r="I18" s="875">
        <f t="shared" si="0"/>
        <v>54</v>
      </c>
      <c r="J18" s="219"/>
      <c r="K18" s="220"/>
      <c r="L18" s="220"/>
      <c r="M18" s="220"/>
      <c r="N18" s="229"/>
      <c r="O18" s="229"/>
      <c r="P18" s="229"/>
      <c r="Q18" s="877">
        <f t="shared" si="4"/>
        <v>0</v>
      </c>
    </row>
    <row r="19" spans="1:17" ht="18" customHeight="1">
      <c r="A19" s="221"/>
      <c r="B19" s="219" t="s">
        <v>1223</v>
      </c>
      <c r="C19" s="219"/>
      <c r="D19" s="227">
        <v>4</v>
      </c>
      <c r="E19" s="219"/>
      <c r="F19" s="227">
        <v>10</v>
      </c>
      <c r="G19" s="219"/>
      <c r="H19" s="227">
        <v>1</v>
      </c>
      <c r="I19" s="875">
        <f t="shared" si="0"/>
        <v>40</v>
      </c>
      <c r="J19" s="219"/>
      <c r="K19" s="220"/>
      <c r="L19" s="220"/>
      <c r="M19" s="220"/>
      <c r="N19" s="229"/>
      <c r="O19" s="229"/>
      <c r="P19" s="229"/>
      <c r="Q19" s="877">
        <f t="shared" si="4"/>
        <v>0</v>
      </c>
    </row>
    <row r="20" spans="1:17" ht="18" customHeight="1">
      <c r="A20" s="222"/>
      <c r="B20" s="219"/>
      <c r="C20" s="219"/>
      <c r="D20" s="227"/>
      <c r="E20" s="219"/>
      <c r="F20" s="227"/>
      <c r="G20" s="219"/>
      <c r="H20" s="227"/>
      <c r="I20" s="875">
        <f t="shared" si="0"/>
        <v>0</v>
      </c>
      <c r="J20" s="219"/>
      <c r="K20" s="220"/>
      <c r="L20" s="220"/>
      <c r="M20" s="220"/>
      <c r="N20" s="229"/>
      <c r="O20" s="229"/>
      <c r="P20" s="229"/>
      <c r="Q20" s="877">
        <f t="shared" si="4"/>
        <v>0</v>
      </c>
    </row>
    <row r="21" spans="1:17" ht="18" customHeight="1">
      <c r="A21" s="221"/>
      <c r="B21" s="219"/>
      <c r="C21" s="219"/>
      <c r="D21" s="227"/>
      <c r="E21" s="219"/>
      <c r="F21" s="227"/>
      <c r="G21" s="219"/>
      <c r="H21" s="227"/>
      <c r="I21" s="875">
        <f>H21*F21*D21</f>
        <v>0</v>
      </c>
      <c r="J21" s="219"/>
      <c r="K21" s="220"/>
      <c r="L21" s="220"/>
      <c r="M21" s="220"/>
      <c r="N21" s="229"/>
      <c r="O21" s="229"/>
      <c r="P21" s="229"/>
      <c r="Q21" s="877">
        <f t="shared" si="4"/>
        <v>0</v>
      </c>
    </row>
    <row r="22" spans="1:17" ht="18" customHeight="1">
      <c r="A22" s="221"/>
      <c r="B22" s="219"/>
      <c r="C22" s="219"/>
      <c r="D22" s="227"/>
      <c r="E22" s="219"/>
      <c r="F22" s="227"/>
      <c r="G22" s="219"/>
      <c r="H22" s="227"/>
      <c r="I22" s="875">
        <f>H22*F22*D22</f>
        <v>0</v>
      </c>
      <c r="J22" s="219"/>
      <c r="K22" s="220"/>
      <c r="L22" s="220"/>
      <c r="M22" s="220"/>
      <c r="N22" s="229"/>
      <c r="O22" s="229"/>
      <c r="P22" s="229"/>
      <c r="Q22" s="877">
        <f t="shared" si="4"/>
        <v>0</v>
      </c>
    </row>
    <row r="23" spans="1:17" ht="18" customHeight="1">
      <c r="A23" s="221"/>
      <c r="B23" s="219"/>
      <c r="C23" s="219"/>
      <c r="D23" s="227"/>
      <c r="E23" s="219"/>
      <c r="F23" s="227"/>
      <c r="G23" s="219"/>
      <c r="H23" s="227"/>
      <c r="I23" s="875">
        <f>H23*F23*D23</f>
        <v>0</v>
      </c>
      <c r="J23" s="219"/>
      <c r="K23" s="220"/>
      <c r="L23" s="220"/>
      <c r="M23" s="220"/>
      <c r="N23" s="229"/>
      <c r="O23" s="229"/>
      <c r="P23" s="229"/>
      <c r="Q23" s="877">
        <f t="shared" si="4"/>
        <v>0</v>
      </c>
    </row>
    <row r="24" spans="1:17" ht="18" customHeight="1">
      <c r="A24" s="221"/>
      <c r="B24" s="219"/>
      <c r="C24" s="219"/>
      <c r="D24" s="227"/>
      <c r="E24" s="219"/>
      <c r="F24" s="227"/>
      <c r="G24" s="219"/>
      <c r="H24" s="227"/>
      <c r="I24" s="875">
        <f>H24*F24*D24</f>
        <v>0</v>
      </c>
      <c r="J24" s="219"/>
      <c r="K24" s="220"/>
      <c r="L24" s="220"/>
      <c r="M24" s="220"/>
      <c r="N24" s="229"/>
      <c r="O24" s="229"/>
      <c r="P24" s="229"/>
      <c r="Q24" s="877">
        <f t="shared" si="4"/>
        <v>0</v>
      </c>
    </row>
    <row r="25" spans="1:17" ht="18" customHeight="1">
      <c r="A25" s="221"/>
      <c r="B25" s="219"/>
      <c r="C25" s="219"/>
      <c r="D25" s="227"/>
      <c r="E25" s="219"/>
      <c r="F25" s="227"/>
      <c r="G25" s="219"/>
      <c r="H25" s="227"/>
      <c r="I25" s="875">
        <f t="shared" si="0"/>
        <v>0</v>
      </c>
      <c r="J25" s="219"/>
      <c r="K25" s="220"/>
      <c r="L25" s="220"/>
      <c r="M25" s="220"/>
      <c r="N25" s="229"/>
      <c r="O25" s="229"/>
      <c r="P25" s="229"/>
      <c r="Q25" s="877">
        <f t="shared" si="4"/>
        <v>0</v>
      </c>
    </row>
    <row r="26" spans="1:17" ht="18" customHeight="1">
      <c r="A26" s="221"/>
      <c r="B26" s="219"/>
      <c r="C26" s="219"/>
      <c r="D26" s="227"/>
      <c r="E26" s="219"/>
      <c r="F26" s="227"/>
      <c r="G26" s="219"/>
      <c r="H26" s="227"/>
      <c r="I26" s="875">
        <f t="shared" si="0"/>
        <v>0</v>
      </c>
      <c r="J26" s="219"/>
      <c r="K26" s="220"/>
      <c r="L26" s="220"/>
      <c r="M26" s="220"/>
      <c r="N26" s="229"/>
      <c r="O26" s="229"/>
      <c r="P26" s="229"/>
      <c r="Q26" s="877">
        <f t="shared" si="4"/>
        <v>0</v>
      </c>
    </row>
    <row r="27" spans="1:17" ht="18" customHeight="1">
      <c r="A27" s="221"/>
      <c r="B27" s="219"/>
      <c r="C27" s="219"/>
      <c r="D27" s="227"/>
      <c r="E27" s="219"/>
      <c r="F27" s="227"/>
      <c r="G27" s="219"/>
      <c r="H27" s="227"/>
      <c r="I27" s="875">
        <f t="shared" si="0"/>
        <v>0</v>
      </c>
      <c r="J27" s="219"/>
      <c r="K27" s="220"/>
      <c r="L27" s="220"/>
      <c r="M27" s="220"/>
      <c r="N27" s="229"/>
      <c r="O27" s="229"/>
      <c r="P27" s="229"/>
      <c r="Q27" s="877">
        <f t="shared" si="4"/>
        <v>0</v>
      </c>
    </row>
    <row r="28" spans="1:17" ht="18" customHeight="1">
      <c r="A28" s="222"/>
      <c r="B28" s="219"/>
      <c r="C28" s="219"/>
      <c r="D28" s="227"/>
      <c r="E28" s="219"/>
      <c r="F28" s="227"/>
      <c r="G28" s="219"/>
      <c r="H28" s="227"/>
      <c r="I28" s="875">
        <f t="shared" si="0"/>
        <v>0</v>
      </c>
      <c r="J28" s="219"/>
      <c r="K28" s="220"/>
      <c r="L28" s="220"/>
      <c r="M28" s="220"/>
      <c r="N28" s="229"/>
      <c r="O28" s="229"/>
      <c r="P28" s="229"/>
      <c r="Q28" s="877">
        <f t="shared" si="4"/>
        <v>0</v>
      </c>
    </row>
    <row r="29" spans="1:17" ht="18" customHeight="1">
      <c r="A29" s="221"/>
      <c r="B29" s="219"/>
      <c r="C29" s="219"/>
      <c r="D29" s="227"/>
      <c r="E29" s="219"/>
      <c r="F29" s="227"/>
      <c r="G29" s="219"/>
      <c r="H29" s="227"/>
      <c r="I29" s="875">
        <f t="shared" si="0"/>
        <v>0</v>
      </c>
      <c r="J29" s="219"/>
      <c r="K29" s="220"/>
      <c r="L29" s="220"/>
      <c r="M29" s="220"/>
      <c r="N29" s="229"/>
      <c r="O29" s="229"/>
      <c r="P29" s="229"/>
      <c r="Q29" s="877">
        <f t="shared" si="4"/>
        <v>0</v>
      </c>
    </row>
    <row r="30" spans="1:17" ht="18" customHeight="1">
      <c r="A30" s="221"/>
      <c r="B30" s="219"/>
      <c r="C30" s="219"/>
      <c r="D30" s="227"/>
      <c r="E30" s="219"/>
      <c r="F30" s="227"/>
      <c r="G30" s="219"/>
      <c r="H30" s="227"/>
      <c r="I30" s="875">
        <f t="shared" si="0"/>
        <v>0</v>
      </c>
      <c r="J30" s="219"/>
      <c r="K30" s="220"/>
      <c r="L30" s="220"/>
      <c r="M30" s="220"/>
      <c r="N30" s="229"/>
      <c r="O30" s="229"/>
      <c r="P30" s="229"/>
      <c r="Q30" s="877">
        <f t="shared" si="4"/>
        <v>0</v>
      </c>
    </row>
    <row r="31" spans="1:17" ht="18" customHeight="1">
      <c r="A31" s="221"/>
      <c r="B31" s="219"/>
      <c r="C31" s="219"/>
      <c r="D31" s="227"/>
      <c r="E31" s="219"/>
      <c r="F31" s="227"/>
      <c r="G31" s="219"/>
      <c r="H31" s="227"/>
      <c r="I31" s="875">
        <f t="shared" si="0"/>
        <v>0</v>
      </c>
      <c r="J31" s="219"/>
      <c r="K31" s="220"/>
      <c r="L31" s="220"/>
      <c r="M31" s="220"/>
      <c r="N31" s="229"/>
      <c r="O31" s="229"/>
      <c r="P31" s="229"/>
      <c r="Q31" s="877">
        <f t="shared" si="4"/>
        <v>0</v>
      </c>
    </row>
    <row r="32" spans="1:17" ht="18" customHeight="1">
      <c r="A32" s="221"/>
      <c r="B32" s="219"/>
      <c r="C32" s="219"/>
      <c r="D32" s="227"/>
      <c r="E32" s="219"/>
      <c r="F32" s="227"/>
      <c r="G32" s="219"/>
      <c r="H32" s="227"/>
      <c r="I32" s="875">
        <f t="shared" si="0"/>
        <v>0</v>
      </c>
      <c r="J32" s="219"/>
      <c r="K32" s="220"/>
      <c r="L32" s="220"/>
      <c r="M32" s="220"/>
      <c r="N32" s="229"/>
      <c r="O32" s="229"/>
      <c r="P32" s="229"/>
      <c r="Q32" s="877">
        <f t="shared" si="4"/>
        <v>0</v>
      </c>
    </row>
    <row r="33" spans="1:17" ht="18" customHeight="1">
      <c r="A33" s="221"/>
      <c r="B33" s="219"/>
      <c r="C33" s="219"/>
      <c r="D33" s="227"/>
      <c r="E33" s="219"/>
      <c r="F33" s="227"/>
      <c r="G33" s="219"/>
      <c r="H33" s="227"/>
      <c r="I33" s="875">
        <f t="shared" si="0"/>
        <v>0</v>
      </c>
      <c r="J33" s="219"/>
      <c r="K33" s="220"/>
      <c r="L33" s="220"/>
      <c r="M33" s="220"/>
      <c r="N33" s="229"/>
      <c r="O33" s="229"/>
      <c r="P33" s="229"/>
      <c r="Q33" s="877">
        <f t="shared" si="4"/>
        <v>0</v>
      </c>
    </row>
    <row r="34" spans="1:17" ht="18" customHeight="1">
      <c r="A34" s="223"/>
      <c r="B34" s="219"/>
      <c r="C34" s="219"/>
      <c r="D34" s="227"/>
      <c r="E34" s="219"/>
      <c r="F34" s="227"/>
      <c r="G34" s="219"/>
      <c r="H34" s="227"/>
      <c r="I34" s="875">
        <f t="shared" si="0"/>
        <v>0</v>
      </c>
      <c r="J34" s="219"/>
      <c r="K34" s="220"/>
      <c r="L34" s="220"/>
      <c r="M34" s="220"/>
      <c r="N34" s="229"/>
      <c r="O34" s="229"/>
      <c r="P34" s="229"/>
      <c r="Q34" s="877">
        <f t="shared" si="4"/>
        <v>0</v>
      </c>
    </row>
    <row r="35" spans="1:17" ht="18" customHeight="1">
      <c r="A35" s="223"/>
      <c r="B35" s="219"/>
      <c r="C35" s="219"/>
      <c r="D35" s="227"/>
      <c r="E35" s="219"/>
      <c r="F35" s="227"/>
      <c r="G35" s="219"/>
      <c r="H35" s="227"/>
      <c r="I35" s="875">
        <f t="shared" si="0"/>
        <v>0</v>
      </c>
      <c r="J35" s="219"/>
      <c r="K35" s="220"/>
      <c r="L35" s="220"/>
      <c r="M35" s="220"/>
      <c r="N35" s="229"/>
      <c r="O35" s="229"/>
      <c r="P35" s="229"/>
      <c r="Q35" s="877">
        <f t="shared" si="4"/>
        <v>0</v>
      </c>
    </row>
    <row r="36" spans="1:17" ht="18" customHeight="1">
      <c r="A36" s="223"/>
      <c r="B36" s="219"/>
      <c r="C36" s="219"/>
      <c r="D36" s="227"/>
      <c r="E36" s="219"/>
      <c r="F36" s="227"/>
      <c r="G36" s="219"/>
      <c r="H36" s="227"/>
      <c r="I36" s="875">
        <f t="shared" si="0"/>
        <v>0</v>
      </c>
      <c r="J36" s="219"/>
      <c r="K36" s="220"/>
      <c r="L36" s="220"/>
      <c r="M36" s="220"/>
      <c r="N36" s="229"/>
      <c r="O36" s="229"/>
      <c r="P36" s="229"/>
      <c r="Q36" s="877">
        <f t="shared" si="4"/>
        <v>0</v>
      </c>
    </row>
    <row r="37" spans="1:17" ht="18" customHeight="1">
      <c r="A37" s="223"/>
      <c r="B37" s="219"/>
      <c r="C37" s="219"/>
      <c r="D37" s="227"/>
      <c r="E37" s="219"/>
      <c r="F37" s="227"/>
      <c r="G37" s="219"/>
      <c r="H37" s="227"/>
      <c r="I37" s="875">
        <f t="shared" si="0"/>
        <v>0</v>
      </c>
      <c r="J37" s="219"/>
      <c r="K37" s="220"/>
      <c r="L37" s="220"/>
      <c r="M37" s="220"/>
      <c r="N37" s="229"/>
      <c r="O37" s="229"/>
      <c r="P37" s="229"/>
      <c r="Q37" s="877">
        <f t="shared" si="4"/>
        <v>0</v>
      </c>
    </row>
    <row r="38" spans="1:17" ht="18" customHeight="1">
      <c r="A38" s="223"/>
      <c r="B38" s="219"/>
      <c r="C38" s="219"/>
      <c r="D38" s="227"/>
      <c r="E38" s="219"/>
      <c r="F38" s="227"/>
      <c r="G38" s="219"/>
      <c r="H38" s="227"/>
      <c r="I38" s="875">
        <f t="shared" si="0"/>
        <v>0</v>
      </c>
      <c r="J38" s="219"/>
      <c r="K38" s="220"/>
      <c r="L38" s="220"/>
      <c r="M38" s="220"/>
      <c r="N38" s="229"/>
      <c r="O38" s="229"/>
      <c r="P38" s="229"/>
      <c r="Q38" s="877">
        <f t="shared" si="4"/>
        <v>0</v>
      </c>
    </row>
    <row r="39" spans="1:17" ht="18" customHeight="1">
      <c r="A39" s="223"/>
      <c r="B39" s="219"/>
      <c r="C39" s="219"/>
      <c r="D39" s="227"/>
      <c r="E39" s="219"/>
      <c r="F39" s="227"/>
      <c r="G39" s="219"/>
      <c r="H39" s="227"/>
      <c r="I39" s="875">
        <f t="shared" si="0"/>
        <v>0</v>
      </c>
      <c r="J39" s="219"/>
      <c r="K39" s="220"/>
      <c r="L39" s="220"/>
      <c r="M39" s="220"/>
      <c r="N39" s="229"/>
      <c r="O39" s="229"/>
      <c r="P39" s="229"/>
      <c r="Q39" s="877">
        <f t="shared" si="4"/>
        <v>0</v>
      </c>
    </row>
    <row r="40" spans="1:17" ht="18" customHeight="1">
      <c r="A40" s="223"/>
      <c r="B40" s="219"/>
      <c r="C40" s="219"/>
      <c r="D40" s="227"/>
      <c r="E40" s="219"/>
      <c r="F40" s="227"/>
      <c r="G40" s="219"/>
      <c r="H40" s="227"/>
      <c r="I40" s="875">
        <f t="shared" si="0"/>
        <v>0</v>
      </c>
      <c r="J40" s="219"/>
      <c r="K40" s="220"/>
      <c r="L40" s="220"/>
      <c r="M40" s="220"/>
      <c r="N40" s="229"/>
      <c r="O40" s="229"/>
      <c r="P40" s="229"/>
      <c r="Q40" s="877">
        <f t="shared" si="4"/>
        <v>0</v>
      </c>
    </row>
    <row r="41" spans="1:17" ht="18" customHeight="1">
      <c r="A41" s="223"/>
      <c r="B41" s="219"/>
      <c r="C41" s="219"/>
      <c r="D41" s="227"/>
      <c r="E41" s="219"/>
      <c r="F41" s="227"/>
      <c r="G41" s="219"/>
      <c r="H41" s="227"/>
      <c r="I41" s="875">
        <f t="shared" si="0"/>
        <v>0</v>
      </c>
      <c r="J41" s="219"/>
      <c r="K41" s="220"/>
      <c r="L41" s="220"/>
      <c r="M41" s="220"/>
      <c r="N41" s="229"/>
      <c r="O41" s="229"/>
      <c r="P41" s="229"/>
      <c r="Q41" s="877">
        <f t="shared" si="4"/>
        <v>0</v>
      </c>
    </row>
    <row r="42" spans="1:17" ht="18" customHeight="1">
      <c r="A42" s="223"/>
      <c r="B42" s="219"/>
      <c r="C42" s="219"/>
      <c r="D42" s="227"/>
      <c r="E42" s="219"/>
      <c r="F42" s="227"/>
      <c r="G42" s="219"/>
      <c r="H42" s="227"/>
      <c r="I42" s="875">
        <f t="shared" si="0"/>
        <v>0</v>
      </c>
      <c r="J42" s="219"/>
      <c r="K42" s="220"/>
      <c r="L42" s="220"/>
      <c r="M42" s="220"/>
      <c r="N42" s="229"/>
      <c r="O42" s="229"/>
      <c r="P42" s="229"/>
      <c r="Q42" s="877">
        <f t="shared" si="4"/>
        <v>0</v>
      </c>
    </row>
    <row r="43" spans="1:17" ht="18" customHeight="1">
      <c r="A43" s="223"/>
      <c r="B43" s="219"/>
      <c r="C43" s="219"/>
      <c r="D43" s="227"/>
      <c r="E43" s="219"/>
      <c r="F43" s="227"/>
      <c r="G43" s="219"/>
      <c r="H43" s="227"/>
      <c r="I43" s="875">
        <f t="shared" si="0"/>
        <v>0</v>
      </c>
      <c r="J43" s="219"/>
      <c r="K43" s="220"/>
      <c r="L43" s="220"/>
      <c r="M43" s="220"/>
      <c r="N43" s="229"/>
      <c r="O43" s="229"/>
      <c r="P43" s="229"/>
      <c r="Q43" s="877">
        <f t="shared" si="4"/>
        <v>0</v>
      </c>
    </row>
    <row r="44" spans="1:17" ht="18" customHeight="1">
      <c r="A44" s="223"/>
      <c r="B44" s="219"/>
      <c r="C44" s="219"/>
      <c r="D44" s="227"/>
      <c r="E44" s="219"/>
      <c r="F44" s="227"/>
      <c r="G44" s="219"/>
      <c r="H44" s="227"/>
      <c r="I44" s="875">
        <f t="shared" si="0"/>
        <v>0</v>
      </c>
      <c r="J44" s="219"/>
      <c r="K44" s="220"/>
      <c r="L44" s="220"/>
      <c r="M44" s="220"/>
      <c r="N44" s="229"/>
      <c r="O44" s="229"/>
      <c r="P44" s="229"/>
      <c r="Q44" s="877">
        <f t="shared" si="4"/>
        <v>0</v>
      </c>
    </row>
    <row r="45" spans="1:17" ht="18" customHeight="1">
      <c r="A45" s="223"/>
      <c r="B45" s="219"/>
      <c r="C45" s="219"/>
      <c r="D45" s="227"/>
      <c r="E45" s="219"/>
      <c r="F45" s="227"/>
      <c r="G45" s="219"/>
      <c r="H45" s="227"/>
      <c r="I45" s="875">
        <f t="shared" si="0"/>
        <v>0</v>
      </c>
      <c r="J45" s="219"/>
      <c r="K45" s="220"/>
      <c r="L45" s="220"/>
      <c r="M45" s="220"/>
      <c r="N45" s="229"/>
      <c r="O45" s="229"/>
      <c r="P45" s="229"/>
      <c r="Q45" s="877">
        <f t="shared" si="4"/>
        <v>0</v>
      </c>
    </row>
    <row r="46" spans="1:17" ht="18" customHeight="1">
      <c r="A46" s="223"/>
      <c r="B46" s="219"/>
      <c r="C46" s="219"/>
      <c r="D46" s="227"/>
      <c r="E46" s="219"/>
      <c r="F46" s="227"/>
      <c r="G46" s="219"/>
      <c r="H46" s="227"/>
      <c r="I46" s="875">
        <f t="shared" si="0"/>
        <v>0</v>
      </c>
      <c r="J46" s="219"/>
      <c r="K46" s="220"/>
      <c r="L46" s="220"/>
      <c r="M46" s="220"/>
      <c r="N46" s="229"/>
      <c r="O46" s="229"/>
      <c r="P46" s="229"/>
      <c r="Q46" s="877">
        <f t="shared" si="4"/>
        <v>0</v>
      </c>
    </row>
    <row r="47" spans="1:17" ht="18" customHeight="1">
      <c r="A47" s="223"/>
      <c r="B47" s="219"/>
      <c r="C47" s="219"/>
      <c r="D47" s="227"/>
      <c r="E47" s="219"/>
      <c r="F47" s="227"/>
      <c r="G47" s="219"/>
      <c r="H47" s="227"/>
      <c r="I47" s="875">
        <f t="shared" si="0"/>
        <v>0</v>
      </c>
      <c r="J47" s="219"/>
      <c r="K47" s="220"/>
      <c r="L47" s="220"/>
      <c r="M47" s="220"/>
      <c r="N47" s="229"/>
      <c r="O47" s="229"/>
      <c r="P47" s="229"/>
      <c r="Q47" s="877">
        <f t="shared" si="4"/>
        <v>0</v>
      </c>
    </row>
    <row r="48" spans="1:17" ht="18" customHeight="1">
      <c r="A48" s="223"/>
      <c r="B48" s="219"/>
      <c r="C48" s="219"/>
      <c r="D48" s="227"/>
      <c r="E48" s="219"/>
      <c r="F48" s="227"/>
      <c r="G48" s="219"/>
      <c r="H48" s="227"/>
      <c r="I48" s="875">
        <f t="shared" si="0"/>
        <v>0</v>
      </c>
      <c r="J48" s="219"/>
      <c r="K48" s="220"/>
      <c r="L48" s="220"/>
      <c r="M48" s="220"/>
      <c r="N48" s="229"/>
      <c r="O48" s="229"/>
      <c r="P48" s="229"/>
      <c r="Q48" s="877">
        <f t="shared" si="4"/>
        <v>0</v>
      </c>
    </row>
    <row r="49" spans="1:17" ht="18" customHeight="1">
      <c r="A49" s="223"/>
      <c r="B49" s="219"/>
      <c r="C49" s="219"/>
      <c r="D49" s="227"/>
      <c r="E49" s="219"/>
      <c r="F49" s="227"/>
      <c r="G49" s="219"/>
      <c r="H49" s="227"/>
      <c r="I49" s="875">
        <f t="shared" si="0"/>
        <v>0</v>
      </c>
      <c r="J49" s="219"/>
      <c r="K49" s="220"/>
      <c r="L49" s="220"/>
      <c r="M49" s="220"/>
      <c r="N49" s="229"/>
      <c r="O49" s="229"/>
      <c r="P49" s="229"/>
      <c r="Q49" s="877">
        <f t="shared" si="4"/>
        <v>0</v>
      </c>
    </row>
    <row r="50" spans="1:17" ht="18" customHeight="1">
      <c r="A50" s="223"/>
      <c r="B50" s="219"/>
      <c r="C50" s="219"/>
      <c r="D50" s="227"/>
      <c r="E50" s="219"/>
      <c r="F50" s="227"/>
      <c r="G50" s="219"/>
      <c r="H50" s="227"/>
      <c r="I50" s="875">
        <f t="shared" si="0"/>
        <v>0</v>
      </c>
      <c r="J50" s="219"/>
      <c r="K50" s="220"/>
      <c r="L50" s="220"/>
      <c r="M50" s="220"/>
      <c r="N50" s="229"/>
      <c r="O50" s="229"/>
      <c r="P50" s="229"/>
      <c r="Q50" s="877">
        <f t="shared" si="4"/>
        <v>0</v>
      </c>
    </row>
    <row r="51" spans="1:17" ht="18" customHeight="1">
      <c r="A51" s="223"/>
      <c r="B51" s="219"/>
      <c r="C51" s="219"/>
      <c r="D51" s="227"/>
      <c r="E51" s="219"/>
      <c r="F51" s="227"/>
      <c r="G51" s="219"/>
      <c r="H51" s="227"/>
      <c r="I51" s="875">
        <f t="shared" si="0"/>
        <v>0</v>
      </c>
      <c r="J51" s="219"/>
      <c r="K51" s="220"/>
      <c r="L51" s="220"/>
      <c r="M51" s="220"/>
      <c r="N51" s="229"/>
      <c r="O51" s="229"/>
      <c r="P51" s="229"/>
      <c r="Q51" s="877">
        <f t="shared" si="4"/>
        <v>0</v>
      </c>
    </row>
    <row r="52" spans="1:17" ht="18" customHeight="1">
      <c r="A52" s="223"/>
      <c r="B52" s="219"/>
      <c r="C52" s="219"/>
      <c r="D52" s="227"/>
      <c r="E52" s="219"/>
      <c r="F52" s="227"/>
      <c r="G52" s="219"/>
      <c r="H52" s="227"/>
      <c r="I52" s="875">
        <f t="shared" si="0"/>
        <v>0</v>
      </c>
      <c r="J52" s="219"/>
      <c r="K52" s="220"/>
      <c r="L52" s="220"/>
      <c r="M52" s="220"/>
      <c r="N52" s="229"/>
      <c r="O52" s="229"/>
      <c r="P52" s="229"/>
      <c r="Q52" s="877">
        <f t="shared" si="4"/>
        <v>0</v>
      </c>
    </row>
    <row r="53" spans="1:17" ht="18" customHeight="1">
      <c r="A53" s="223"/>
      <c r="B53" s="219"/>
      <c r="C53" s="219"/>
      <c r="D53" s="227"/>
      <c r="E53" s="219"/>
      <c r="F53" s="227"/>
      <c r="G53" s="219"/>
      <c r="H53" s="227"/>
      <c r="I53" s="875">
        <f t="shared" si="0"/>
        <v>0</v>
      </c>
      <c r="J53" s="219"/>
      <c r="K53" s="220"/>
      <c r="L53" s="220"/>
      <c r="M53" s="220"/>
      <c r="N53" s="229"/>
      <c r="O53" s="229"/>
      <c r="P53" s="229"/>
      <c r="Q53" s="877">
        <f t="shared" si="4"/>
        <v>0</v>
      </c>
    </row>
    <row r="54" spans="1:17" ht="18" customHeight="1">
      <c r="A54" s="223"/>
      <c r="B54" s="219"/>
      <c r="C54" s="219"/>
      <c r="D54" s="227"/>
      <c r="E54" s="219"/>
      <c r="F54" s="227"/>
      <c r="G54" s="219"/>
      <c r="H54" s="227"/>
      <c r="I54" s="875">
        <f t="shared" si="0"/>
        <v>0</v>
      </c>
      <c r="J54" s="219"/>
      <c r="K54" s="220"/>
      <c r="L54" s="220"/>
      <c r="M54" s="220"/>
      <c r="N54" s="229"/>
      <c r="O54" s="229"/>
      <c r="P54" s="229"/>
      <c r="Q54" s="877">
        <f t="shared" si="4"/>
        <v>0</v>
      </c>
    </row>
    <row r="55" spans="1:17" ht="18" customHeight="1">
      <c r="A55" s="223"/>
      <c r="B55" s="219"/>
      <c r="C55" s="219"/>
      <c r="D55" s="227"/>
      <c r="E55" s="219"/>
      <c r="F55" s="227"/>
      <c r="G55" s="219"/>
      <c r="H55" s="227"/>
      <c r="I55" s="875">
        <f t="shared" si="0"/>
        <v>0</v>
      </c>
      <c r="J55" s="219"/>
      <c r="K55" s="220"/>
      <c r="L55" s="220"/>
      <c r="M55" s="220"/>
      <c r="N55" s="229"/>
      <c r="O55" s="229"/>
      <c r="P55" s="229"/>
      <c r="Q55" s="877">
        <f t="shared" si="4"/>
        <v>0</v>
      </c>
    </row>
    <row r="56" spans="1:17" ht="18" customHeight="1">
      <c r="A56" s="223"/>
      <c r="B56" s="219"/>
      <c r="C56" s="219"/>
      <c r="D56" s="227"/>
      <c r="E56" s="219"/>
      <c r="F56" s="227"/>
      <c r="G56" s="219"/>
      <c r="H56" s="227"/>
      <c r="I56" s="875">
        <f t="shared" si="0"/>
        <v>0</v>
      </c>
      <c r="J56" s="219"/>
      <c r="K56" s="220"/>
      <c r="L56" s="220"/>
      <c r="M56" s="220"/>
      <c r="N56" s="229"/>
      <c r="O56" s="229"/>
      <c r="P56" s="229"/>
      <c r="Q56" s="877">
        <f t="shared" si="4"/>
        <v>0</v>
      </c>
    </row>
    <row r="57" spans="1:17" ht="18" customHeight="1">
      <c r="A57" s="223"/>
      <c r="B57" s="219"/>
      <c r="C57" s="219"/>
      <c r="D57" s="227"/>
      <c r="E57" s="219"/>
      <c r="F57" s="227"/>
      <c r="G57" s="219"/>
      <c r="H57" s="227"/>
      <c r="I57" s="875">
        <f t="shared" si="0"/>
        <v>0</v>
      </c>
      <c r="J57" s="219"/>
      <c r="K57" s="220"/>
      <c r="L57" s="220"/>
      <c r="M57" s="220"/>
      <c r="N57" s="229"/>
      <c r="O57" s="229"/>
      <c r="P57" s="229"/>
      <c r="Q57" s="877">
        <f t="shared" si="4"/>
        <v>0</v>
      </c>
    </row>
    <row r="58" spans="1:17" ht="18" customHeight="1">
      <c r="A58" s="223"/>
      <c r="B58" s="219"/>
      <c r="C58" s="219"/>
      <c r="D58" s="227"/>
      <c r="E58" s="219"/>
      <c r="F58" s="227"/>
      <c r="G58" s="219"/>
      <c r="H58" s="227"/>
      <c r="I58" s="875">
        <f t="shared" si="0"/>
        <v>0</v>
      </c>
      <c r="J58" s="219"/>
      <c r="K58" s="220"/>
      <c r="L58" s="220"/>
      <c r="M58" s="220"/>
      <c r="N58" s="229"/>
      <c r="O58" s="229"/>
      <c r="P58" s="229"/>
      <c r="Q58" s="877">
        <f t="shared" si="4"/>
        <v>0</v>
      </c>
    </row>
    <row r="59" spans="1:17" ht="18" customHeight="1">
      <c r="A59" s="223"/>
      <c r="B59" s="219"/>
      <c r="C59" s="219"/>
      <c r="D59" s="227"/>
      <c r="E59" s="219"/>
      <c r="F59" s="227"/>
      <c r="G59" s="219"/>
      <c r="H59" s="227"/>
      <c r="I59" s="875">
        <f t="shared" si="0"/>
        <v>0</v>
      </c>
      <c r="J59" s="219"/>
      <c r="K59" s="220"/>
      <c r="L59" s="220"/>
      <c r="M59" s="220"/>
      <c r="N59" s="229"/>
      <c r="O59" s="229"/>
      <c r="P59" s="229"/>
      <c r="Q59" s="877">
        <f t="shared" si="4"/>
        <v>0</v>
      </c>
    </row>
    <row r="60" spans="1:17" ht="18" customHeight="1">
      <c r="A60" s="223"/>
      <c r="B60" s="219"/>
      <c r="C60" s="219"/>
      <c r="D60" s="227"/>
      <c r="E60" s="219"/>
      <c r="F60" s="227"/>
      <c r="G60" s="219"/>
      <c r="H60" s="227"/>
      <c r="I60" s="875">
        <f t="shared" si="0"/>
        <v>0</v>
      </c>
      <c r="J60" s="219"/>
      <c r="K60" s="220"/>
      <c r="L60" s="220"/>
      <c r="M60" s="220"/>
      <c r="N60" s="229"/>
      <c r="O60" s="229"/>
      <c r="P60" s="229"/>
      <c r="Q60" s="877">
        <f t="shared" si="4"/>
        <v>0</v>
      </c>
    </row>
    <row r="61" spans="1:17" ht="18" customHeight="1">
      <c r="A61" s="223"/>
      <c r="B61" s="219"/>
      <c r="C61" s="219"/>
      <c r="D61" s="227"/>
      <c r="E61" s="219"/>
      <c r="F61" s="227"/>
      <c r="G61" s="219"/>
      <c r="H61" s="227"/>
      <c r="I61" s="875">
        <f t="shared" si="0"/>
        <v>0</v>
      </c>
      <c r="J61" s="219"/>
      <c r="K61" s="220"/>
      <c r="L61" s="220"/>
      <c r="M61" s="220"/>
      <c r="N61" s="229"/>
      <c r="O61" s="229"/>
      <c r="P61" s="229"/>
      <c r="Q61" s="877">
        <f t="shared" si="4"/>
        <v>0</v>
      </c>
    </row>
    <row r="62" spans="1:17" ht="18" customHeight="1">
      <c r="A62" s="223"/>
      <c r="B62" s="219"/>
      <c r="C62" s="219"/>
      <c r="D62" s="227"/>
      <c r="E62" s="219"/>
      <c r="F62" s="227"/>
      <c r="G62" s="219"/>
      <c r="H62" s="227"/>
      <c r="I62" s="875">
        <f t="shared" si="0"/>
        <v>0</v>
      </c>
      <c r="J62" s="219"/>
      <c r="K62" s="220"/>
      <c r="L62" s="220"/>
      <c r="M62" s="220"/>
      <c r="N62" s="229"/>
      <c r="O62" s="229"/>
      <c r="P62" s="229"/>
      <c r="Q62" s="877">
        <f t="shared" si="4"/>
        <v>0</v>
      </c>
    </row>
    <row r="63" spans="1:17" ht="18" customHeight="1">
      <c r="A63" s="223"/>
      <c r="B63" s="219"/>
      <c r="C63" s="219"/>
      <c r="D63" s="227"/>
      <c r="E63" s="219"/>
      <c r="F63" s="227"/>
      <c r="G63" s="219"/>
      <c r="H63" s="227"/>
      <c r="I63" s="875">
        <f t="shared" si="0"/>
        <v>0</v>
      </c>
      <c r="J63" s="219"/>
      <c r="K63" s="220"/>
      <c r="L63" s="220"/>
      <c r="M63" s="220"/>
      <c r="N63" s="229"/>
      <c r="O63" s="229"/>
      <c r="P63" s="229"/>
      <c r="Q63" s="877">
        <f t="shared" si="4"/>
        <v>0</v>
      </c>
    </row>
    <row r="64" spans="1:17" ht="18" customHeight="1">
      <c r="A64" s="223"/>
      <c r="B64" s="219"/>
      <c r="C64" s="219"/>
      <c r="D64" s="227"/>
      <c r="E64" s="219"/>
      <c r="F64" s="227"/>
      <c r="G64" s="219"/>
      <c r="H64" s="227"/>
      <c r="I64" s="875">
        <f t="shared" si="0"/>
        <v>0</v>
      </c>
      <c r="J64" s="219"/>
      <c r="K64" s="220"/>
      <c r="L64" s="220"/>
      <c r="M64" s="220"/>
      <c r="N64" s="229"/>
      <c r="O64" s="229"/>
      <c r="P64" s="229"/>
      <c r="Q64" s="877">
        <f t="shared" si="4"/>
        <v>0</v>
      </c>
    </row>
    <row r="65" spans="1:17" ht="18" customHeight="1">
      <c r="A65" s="223"/>
      <c r="B65" s="219"/>
      <c r="C65" s="219"/>
      <c r="D65" s="227"/>
      <c r="E65" s="219"/>
      <c r="F65" s="227"/>
      <c r="G65" s="219"/>
      <c r="H65" s="227"/>
      <c r="I65" s="875">
        <f t="shared" si="0"/>
        <v>0</v>
      </c>
      <c r="J65" s="219"/>
      <c r="K65" s="220"/>
      <c r="L65" s="220"/>
      <c r="M65" s="220"/>
      <c r="N65" s="229"/>
      <c r="O65" s="229"/>
      <c r="P65" s="229"/>
      <c r="Q65" s="877">
        <f t="shared" si="4"/>
        <v>0</v>
      </c>
    </row>
    <row r="66" spans="1:17" ht="18" customHeight="1">
      <c r="A66" s="223"/>
      <c r="B66" s="219"/>
      <c r="C66" s="219"/>
      <c r="D66" s="227"/>
      <c r="E66" s="219"/>
      <c r="F66" s="227"/>
      <c r="G66" s="219"/>
      <c r="H66" s="227"/>
      <c r="I66" s="875">
        <f t="shared" si="0"/>
        <v>0</v>
      </c>
      <c r="J66" s="219"/>
      <c r="K66" s="220"/>
      <c r="L66" s="220"/>
      <c r="M66" s="220"/>
      <c r="N66" s="229"/>
      <c r="O66" s="229"/>
      <c r="P66" s="229"/>
      <c r="Q66" s="877">
        <f t="shared" si="4"/>
        <v>0</v>
      </c>
    </row>
    <row r="67" spans="1:17" ht="18" customHeight="1">
      <c r="A67" s="223"/>
      <c r="B67" s="219"/>
      <c r="C67" s="219"/>
      <c r="D67" s="227"/>
      <c r="E67" s="219"/>
      <c r="F67" s="227"/>
      <c r="G67" s="219"/>
      <c r="H67" s="227"/>
      <c r="I67" s="875">
        <f t="shared" si="0"/>
        <v>0</v>
      </c>
      <c r="J67" s="219"/>
      <c r="K67" s="220"/>
      <c r="L67" s="220"/>
      <c r="M67" s="220"/>
      <c r="N67" s="229"/>
      <c r="O67" s="229"/>
      <c r="P67" s="229"/>
      <c r="Q67" s="877">
        <f t="shared" si="4"/>
        <v>0</v>
      </c>
    </row>
    <row r="68" spans="1:17" ht="18" customHeight="1">
      <c r="A68" s="223"/>
      <c r="B68" s="219"/>
      <c r="C68" s="219"/>
      <c r="D68" s="227"/>
      <c r="E68" s="219"/>
      <c r="F68" s="227"/>
      <c r="G68" s="219"/>
      <c r="H68" s="227"/>
      <c r="I68" s="875">
        <f t="shared" si="0"/>
        <v>0</v>
      </c>
      <c r="J68" s="219"/>
      <c r="K68" s="220"/>
      <c r="L68" s="220"/>
      <c r="M68" s="220"/>
      <c r="N68" s="229"/>
      <c r="O68" s="229"/>
      <c r="P68" s="229"/>
      <c r="Q68" s="877">
        <f t="shared" si="4"/>
        <v>0</v>
      </c>
    </row>
    <row r="69" spans="1:17" ht="18" customHeight="1">
      <c r="A69" s="223"/>
      <c r="B69" s="219"/>
      <c r="C69" s="219"/>
      <c r="D69" s="227"/>
      <c r="E69" s="219"/>
      <c r="F69" s="227"/>
      <c r="G69" s="219"/>
      <c r="H69" s="227"/>
      <c r="I69" s="875">
        <f t="shared" si="0"/>
        <v>0</v>
      </c>
      <c r="J69" s="219"/>
      <c r="K69" s="220"/>
      <c r="L69" s="220"/>
      <c r="M69" s="220"/>
      <c r="N69" s="229"/>
      <c r="O69" s="229"/>
      <c r="P69" s="229"/>
      <c r="Q69" s="877">
        <f t="shared" si="4"/>
        <v>0</v>
      </c>
    </row>
  </sheetData>
  <mergeCells count="1">
    <mergeCell ref="K3:Q3"/>
  </mergeCells>
  <phoneticPr fontId="32" type="noConversion"/>
  <pageMargins left="0.38" right="0.24" top="0.74803149606299213" bottom="0.74803149606299213" header="0.39" footer="0.31496062992125984"/>
  <pageSetup paperSize="9" scale="58" fitToHeight="20" orientation="landscape" r:id="rId1"/>
  <drawing r:id="rId2"/>
  <legacyDrawing r:id="rId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026E9-7783-A94F-88C8-60389F1EF32D}">
  <sheetPr>
    <pageSetUpPr fitToPage="1"/>
  </sheetPr>
  <dimension ref="A1:U35"/>
  <sheetViews>
    <sheetView showRuler="0" zoomScaleNormal="100" zoomScalePageLayoutView="85" workbookViewId="0"/>
  </sheetViews>
  <sheetFormatPr defaultColWidth="8.7109375" defaultRowHeight="15"/>
  <cols>
    <col min="1" max="1" width="12.28515625" customWidth="1"/>
    <col min="2" max="2" width="10.28515625" style="29" customWidth="1"/>
    <col min="3" max="3" width="12.28515625" style="29" customWidth="1"/>
    <col min="4" max="4" width="14.42578125" style="29" customWidth="1"/>
    <col min="5" max="5" width="12.7109375" customWidth="1"/>
    <col min="6" max="6" width="14.28515625" customWidth="1"/>
    <col min="7" max="7" width="6.7109375" customWidth="1"/>
    <col min="8" max="8" width="13.28515625" customWidth="1"/>
    <col min="9" max="9" width="11.7109375" customWidth="1"/>
    <col min="10" max="10" width="9.7109375" customWidth="1"/>
    <col min="11" max="11" width="11.7109375" customWidth="1"/>
    <col min="12" max="13" width="12.7109375" customWidth="1"/>
    <col min="14" max="14" width="13.42578125" customWidth="1"/>
    <col min="15" max="21" width="5.7109375" customWidth="1"/>
  </cols>
  <sheetData>
    <row r="1" spans="1:21" s="1" customFormat="1" ht="21">
      <c r="A1" s="1056" t="s">
        <v>1224</v>
      </c>
      <c r="B1" s="889"/>
      <c r="C1" s="890"/>
      <c r="D1" s="890"/>
      <c r="E1" s="890"/>
      <c r="F1" s="890"/>
      <c r="G1" s="890"/>
      <c r="H1" s="890"/>
      <c r="I1" s="890"/>
      <c r="J1" s="890"/>
      <c r="K1" s="890"/>
      <c r="L1" s="890"/>
      <c r="M1" s="891" t="s">
        <v>216</v>
      </c>
      <c r="N1" s="892" t="s">
        <v>150</v>
      </c>
      <c r="O1" s="501"/>
      <c r="P1" s="501"/>
      <c r="Q1" s="501"/>
      <c r="R1" s="501"/>
      <c r="S1" s="501"/>
      <c r="T1" s="501"/>
      <c r="U1" s="501"/>
    </row>
    <row r="2" spans="1:21" s="1" customFormat="1">
      <c r="A2" s="887" t="s">
        <v>1225</v>
      </c>
      <c r="B2" s="888" t="s">
        <v>1226</v>
      </c>
      <c r="C2" s="888"/>
      <c r="D2" s="887"/>
      <c r="E2" s="887"/>
      <c r="F2" s="787"/>
      <c r="G2" s="787"/>
      <c r="H2" s="787"/>
      <c r="I2" s="887" t="s">
        <v>1227</v>
      </c>
      <c r="J2" s="1368" t="s">
        <v>1228</v>
      </c>
      <c r="K2" s="1368"/>
      <c r="L2" s="1368"/>
      <c r="M2" s="1368"/>
      <c r="N2" s="1368"/>
      <c r="O2" s="501"/>
      <c r="P2" s="501"/>
      <c r="Q2" s="501"/>
      <c r="R2" s="501"/>
      <c r="S2" s="501"/>
      <c r="T2" s="501"/>
      <c r="U2" s="501"/>
    </row>
    <row r="3" spans="1:21" s="503" customFormat="1" ht="14.65" customHeight="1">
      <c r="A3" s="1369" t="s">
        <v>174</v>
      </c>
      <c r="B3" s="1370"/>
      <c r="C3" s="1370"/>
      <c r="D3" s="1371" t="s">
        <v>1229</v>
      </c>
      <c r="E3" s="1372"/>
      <c r="F3" s="1373"/>
      <c r="G3" s="1369" t="s">
        <v>574</v>
      </c>
      <c r="H3" s="1376"/>
      <c r="I3" s="1371" t="s">
        <v>1230</v>
      </c>
      <c r="J3" s="1372"/>
      <c r="K3" s="1372"/>
      <c r="L3" s="1372"/>
      <c r="M3" s="1373"/>
      <c r="N3" s="1374" t="s">
        <v>346</v>
      </c>
      <c r="O3" s="502"/>
      <c r="P3" s="502"/>
      <c r="Q3" s="502"/>
      <c r="R3" s="502"/>
      <c r="S3" s="502"/>
      <c r="T3" s="502"/>
      <c r="U3" s="502"/>
    </row>
    <row r="4" spans="1:21" s="503" customFormat="1" ht="45">
      <c r="A4" s="878" t="s">
        <v>1231</v>
      </c>
      <c r="B4" s="879" t="s">
        <v>173</v>
      </c>
      <c r="C4" s="880" t="s">
        <v>175</v>
      </c>
      <c r="D4" s="881" t="s">
        <v>1232</v>
      </c>
      <c r="E4" s="882" t="s">
        <v>1233</v>
      </c>
      <c r="F4" s="880" t="s">
        <v>1234</v>
      </c>
      <c r="G4" s="883" t="s">
        <v>183</v>
      </c>
      <c r="H4" s="884" t="s">
        <v>1235</v>
      </c>
      <c r="I4" s="885" t="s">
        <v>1047</v>
      </c>
      <c r="J4" s="882" t="s">
        <v>1236</v>
      </c>
      <c r="K4" s="882" t="s">
        <v>1237</v>
      </c>
      <c r="L4" s="882" t="s">
        <v>1238</v>
      </c>
      <c r="M4" s="886" t="s">
        <v>1239</v>
      </c>
      <c r="N4" s="1375"/>
      <c r="O4" s="502"/>
      <c r="P4" s="502"/>
      <c r="Q4" s="502"/>
      <c r="R4" s="502"/>
      <c r="S4" s="502"/>
      <c r="T4" s="502"/>
      <c r="U4" s="502"/>
    </row>
    <row r="5" spans="1:21" s="1" customFormat="1" ht="45">
      <c r="A5" s="504" t="s">
        <v>1240</v>
      </c>
      <c r="B5" s="505"/>
      <c r="C5" s="506" t="s">
        <v>1241</v>
      </c>
      <c r="D5" s="507" t="s">
        <v>1242</v>
      </c>
      <c r="E5" s="508" t="s">
        <v>1243</v>
      </c>
      <c r="F5" s="509" t="s">
        <v>1244</v>
      </c>
      <c r="G5" s="510" t="s">
        <v>184</v>
      </c>
      <c r="H5" s="509" t="s">
        <v>1245</v>
      </c>
      <c r="I5" s="511" t="s">
        <v>1246</v>
      </c>
      <c r="J5" s="512" t="s">
        <v>1247</v>
      </c>
      <c r="K5" s="512" t="s">
        <v>1248</v>
      </c>
      <c r="L5" s="512" t="s">
        <v>1249</v>
      </c>
      <c r="M5" s="513" t="s">
        <v>1250</v>
      </c>
      <c r="N5" s="514"/>
      <c r="O5" s="501"/>
      <c r="P5" s="501"/>
      <c r="Q5" s="501"/>
      <c r="R5" s="501"/>
      <c r="S5" s="501"/>
      <c r="T5" s="501"/>
      <c r="U5" s="501"/>
    </row>
    <row r="6" spans="1:21" s="1" customFormat="1" ht="60">
      <c r="A6" s="515" t="s">
        <v>1251</v>
      </c>
      <c r="B6" s="516" t="s">
        <v>1252</v>
      </c>
      <c r="C6" s="517"/>
      <c r="D6" s="518" t="s">
        <v>1253</v>
      </c>
      <c r="E6" s="519" t="s">
        <v>1254</v>
      </c>
      <c r="F6" s="520" t="s">
        <v>1255</v>
      </c>
      <c r="G6" s="521" t="s">
        <v>186</v>
      </c>
      <c r="H6" s="520" t="s">
        <v>1256</v>
      </c>
      <c r="I6" s="522" t="s">
        <v>1257</v>
      </c>
      <c r="J6" s="519" t="s">
        <v>1258</v>
      </c>
      <c r="K6" s="519" t="s">
        <v>1259</v>
      </c>
      <c r="L6" s="519" t="s">
        <v>1260</v>
      </c>
      <c r="M6" s="523" t="s">
        <v>1261</v>
      </c>
      <c r="N6" s="524"/>
      <c r="S6" s="525"/>
    </row>
    <row r="7" spans="1:21" s="1" customFormat="1" ht="60">
      <c r="A7" s="515" t="s">
        <v>1262</v>
      </c>
      <c r="B7" s="516" t="s">
        <v>1263</v>
      </c>
      <c r="C7" s="517"/>
      <c r="D7" s="518" t="s">
        <v>1264</v>
      </c>
      <c r="E7" s="519" t="s">
        <v>1265</v>
      </c>
      <c r="F7" s="520" t="s">
        <v>1266</v>
      </c>
      <c r="G7" s="521" t="s">
        <v>186</v>
      </c>
      <c r="H7" s="520" t="s">
        <v>1256</v>
      </c>
      <c r="I7" s="522" t="s">
        <v>1267</v>
      </c>
      <c r="J7" s="519" t="s">
        <v>1268</v>
      </c>
      <c r="K7" s="519" t="s">
        <v>1269</v>
      </c>
      <c r="L7" s="519" t="s">
        <v>1270</v>
      </c>
      <c r="M7" s="523" t="s">
        <v>1271</v>
      </c>
      <c r="N7" s="524"/>
      <c r="O7" s="498"/>
      <c r="P7" s="498"/>
      <c r="Q7" s="498"/>
      <c r="R7" s="498"/>
      <c r="S7" s="498"/>
      <c r="T7" s="498"/>
      <c r="U7" s="498"/>
    </row>
    <row r="8" spans="1:21" s="1" customFormat="1" hidden="1">
      <c r="A8" s="526"/>
      <c r="B8" s="527"/>
      <c r="C8" s="528"/>
      <c r="D8" s="518"/>
      <c r="E8" s="519"/>
      <c r="F8" s="519"/>
      <c r="G8" s="520"/>
      <c r="H8" s="520"/>
      <c r="I8" s="522"/>
      <c r="J8" s="519"/>
      <c r="K8" s="519"/>
      <c r="L8" s="519"/>
      <c r="M8" s="523"/>
      <c r="N8" s="524"/>
    </row>
    <row r="9" spans="1:21" s="1" customFormat="1" hidden="1">
      <c r="A9" s="526"/>
      <c r="B9" s="527"/>
      <c r="C9" s="528"/>
      <c r="D9" s="518"/>
      <c r="E9" s="519"/>
      <c r="F9" s="519"/>
      <c r="G9" s="520"/>
      <c r="H9" s="520"/>
      <c r="I9" s="522"/>
      <c r="J9" s="519"/>
      <c r="K9" s="519"/>
      <c r="L9" s="519"/>
      <c r="M9" s="523"/>
      <c r="N9" s="524"/>
    </row>
    <row r="10" spans="1:21" s="1" customFormat="1" hidden="1">
      <c r="A10" s="526"/>
      <c r="B10" s="527"/>
      <c r="C10" s="528"/>
      <c r="D10" s="518"/>
      <c r="E10" s="519"/>
      <c r="F10" s="519"/>
      <c r="G10" s="520"/>
      <c r="H10" s="520"/>
      <c r="I10" s="522"/>
      <c r="J10" s="519"/>
      <c r="K10" s="519"/>
      <c r="L10" s="519"/>
      <c r="M10" s="523"/>
      <c r="N10" s="524"/>
    </row>
    <row r="11" spans="1:21" s="1" customFormat="1" hidden="1">
      <c r="A11" s="526"/>
      <c r="B11" s="527"/>
      <c r="C11" s="528"/>
      <c r="D11" s="518"/>
      <c r="E11" s="992"/>
      <c r="F11" s="519"/>
      <c r="G11" s="520"/>
      <c r="H11" s="520"/>
      <c r="I11" s="522"/>
      <c r="J11" s="519"/>
      <c r="K11" s="519"/>
      <c r="L11" s="519"/>
      <c r="M11" s="523"/>
      <c r="N11" s="524"/>
    </row>
    <row r="12" spans="1:21" s="1" customFormat="1" hidden="1">
      <c r="A12" s="526"/>
      <c r="B12" s="527"/>
      <c r="C12" s="528"/>
      <c r="D12" s="518"/>
      <c r="E12" s="519"/>
      <c r="F12" s="519"/>
      <c r="G12" s="520"/>
      <c r="H12" s="520"/>
      <c r="I12" s="522"/>
      <c r="J12" s="519"/>
      <c r="K12" s="519"/>
      <c r="L12" s="519"/>
      <c r="M12" s="523"/>
      <c r="N12" s="524"/>
    </row>
    <row r="13" spans="1:21" s="1" customFormat="1" hidden="1">
      <c r="A13" s="526"/>
      <c r="B13" s="527"/>
      <c r="C13" s="528"/>
      <c r="D13" s="518"/>
      <c r="E13" s="519"/>
      <c r="F13" s="519"/>
      <c r="G13" s="520"/>
      <c r="H13" s="520"/>
      <c r="I13" s="522"/>
      <c r="J13" s="519"/>
      <c r="K13" s="519"/>
      <c r="L13" s="519"/>
      <c r="M13" s="523"/>
      <c r="N13" s="524"/>
    </row>
    <row r="14" spans="1:21" s="1" customFormat="1" hidden="1">
      <c r="A14" s="526"/>
      <c r="B14" s="527"/>
      <c r="C14" s="528"/>
      <c r="D14" s="518"/>
      <c r="E14" s="519"/>
      <c r="F14" s="519"/>
      <c r="G14" s="520"/>
      <c r="H14" s="520"/>
      <c r="I14" s="522"/>
      <c r="J14" s="519"/>
      <c r="K14" s="519"/>
      <c r="L14" s="519"/>
      <c r="M14" s="523"/>
      <c r="N14" s="524"/>
    </row>
    <row r="15" spans="1:21" s="1" customFormat="1" ht="15" hidden="1" customHeight="1">
      <c r="A15" s="526"/>
      <c r="B15" s="527"/>
      <c r="C15" s="528"/>
      <c r="D15" s="518"/>
      <c r="E15" s="519"/>
      <c r="F15" s="519"/>
      <c r="G15" s="520"/>
      <c r="H15" s="520"/>
      <c r="I15" s="522"/>
      <c r="J15" s="519"/>
      <c r="K15" s="519"/>
      <c r="L15" s="519"/>
      <c r="M15" s="523"/>
      <c r="N15" s="524"/>
    </row>
    <row r="16" spans="1:21" s="1" customFormat="1" hidden="1">
      <c r="A16" s="526"/>
      <c r="B16" s="527"/>
      <c r="C16" s="528"/>
      <c r="D16" s="518"/>
      <c r="E16" s="519"/>
      <c r="F16" s="519"/>
      <c r="G16" s="520"/>
      <c r="H16" s="520"/>
      <c r="I16" s="522"/>
      <c r="J16" s="519"/>
      <c r="K16" s="519"/>
      <c r="L16" s="519"/>
      <c r="M16" s="523"/>
      <c r="N16" s="524"/>
    </row>
    <row r="17" spans="1:14" s="1" customFormat="1" hidden="1">
      <c r="A17" s="526"/>
      <c r="B17" s="527"/>
      <c r="C17" s="528"/>
      <c r="D17" s="518"/>
      <c r="E17" s="519"/>
      <c r="F17" s="519"/>
      <c r="G17" s="520"/>
      <c r="H17" s="520"/>
      <c r="I17" s="522"/>
      <c r="J17" s="519"/>
      <c r="K17" s="519"/>
      <c r="L17" s="519"/>
      <c r="M17" s="523"/>
      <c r="N17" s="524"/>
    </row>
    <row r="18" spans="1:14" s="1" customFormat="1" hidden="1">
      <c r="A18" s="526"/>
      <c r="B18" s="527"/>
      <c r="C18" s="528"/>
      <c r="D18" s="518"/>
      <c r="E18" s="519"/>
      <c r="F18" s="519"/>
      <c r="G18" s="520"/>
      <c r="H18" s="520"/>
      <c r="I18" s="522"/>
      <c r="J18" s="519"/>
      <c r="K18" s="519"/>
      <c r="L18" s="519"/>
      <c r="M18" s="523"/>
      <c r="N18" s="524"/>
    </row>
    <row r="19" spans="1:14" s="1" customFormat="1" hidden="1">
      <c r="A19" s="526"/>
      <c r="B19" s="527"/>
      <c r="C19" s="528"/>
      <c r="D19" s="518"/>
      <c r="E19" s="519"/>
      <c r="F19" s="519"/>
      <c r="G19" s="520"/>
      <c r="H19" s="520"/>
      <c r="I19" s="522"/>
      <c r="J19" s="519"/>
      <c r="K19" s="519"/>
      <c r="L19" s="519"/>
      <c r="M19" s="523"/>
      <c r="N19" s="524"/>
    </row>
    <row r="20" spans="1:14" s="1" customFormat="1" hidden="1">
      <c r="A20" s="529"/>
      <c r="B20" s="530"/>
      <c r="C20" s="531"/>
      <c r="D20" s="532"/>
      <c r="E20" s="533"/>
      <c r="F20" s="533"/>
      <c r="G20" s="534"/>
      <c r="H20" s="534"/>
      <c r="I20" s="535"/>
      <c r="J20" s="533"/>
      <c r="K20" s="533"/>
      <c r="L20" s="533"/>
      <c r="M20" s="536"/>
      <c r="N20" s="537"/>
    </row>
    <row r="21" spans="1:14">
      <c r="A21" s="538" t="s">
        <v>1272</v>
      </c>
      <c r="B21" s="539" t="s">
        <v>1273</v>
      </c>
      <c r="C21" s="539"/>
      <c r="D21" s="539"/>
      <c r="E21" s="539"/>
      <c r="F21" s="539"/>
      <c r="G21" s="539"/>
      <c r="H21" s="539"/>
      <c r="I21" s="539"/>
      <c r="J21" s="539"/>
      <c r="K21" s="540"/>
      <c r="L21" s="539" t="s">
        <v>181</v>
      </c>
      <c r="M21" s="541" t="s">
        <v>1274</v>
      </c>
      <c r="N21" s="542" t="s">
        <v>1275</v>
      </c>
    </row>
    <row r="22" spans="1:14" s="1" customFormat="1" ht="14.65" customHeight="1">
      <c r="A22" s="543">
        <v>1</v>
      </c>
      <c r="B22" s="544" t="s">
        <v>1276</v>
      </c>
      <c r="C22" s="544"/>
      <c r="D22" s="544"/>
      <c r="E22" s="544"/>
      <c r="F22" s="544"/>
      <c r="G22" s="544"/>
      <c r="H22" s="544"/>
      <c r="I22" s="544"/>
      <c r="J22" s="544"/>
      <c r="K22" s="544"/>
      <c r="L22" s="545">
        <v>41275</v>
      </c>
      <c r="M22" s="546" t="s">
        <v>1277</v>
      </c>
      <c r="N22" s="547" t="s">
        <v>1278</v>
      </c>
    </row>
    <row r="23" spans="1:14" s="1" customFormat="1">
      <c r="A23" s="548"/>
      <c r="B23" s="549"/>
      <c r="C23" s="549"/>
      <c r="D23" s="549"/>
      <c r="E23" s="549"/>
      <c r="F23" s="549"/>
      <c r="G23" s="549"/>
      <c r="H23" s="549"/>
      <c r="I23" s="549"/>
      <c r="J23" s="549"/>
      <c r="K23" s="549"/>
      <c r="L23" s="546"/>
      <c r="M23" s="546"/>
      <c r="N23" s="547"/>
    </row>
    <row r="24" spans="1:14" s="1" customFormat="1">
      <c r="A24" s="550"/>
      <c r="B24" s="551"/>
      <c r="C24" s="551"/>
      <c r="D24" s="551"/>
      <c r="E24" s="551"/>
      <c r="F24" s="551"/>
      <c r="G24" s="551"/>
      <c r="H24" s="551"/>
      <c r="I24" s="551"/>
      <c r="J24" s="551"/>
      <c r="K24" s="551"/>
      <c r="L24" s="552"/>
      <c r="M24" s="552"/>
      <c r="N24" s="553"/>
    </row>
    <row r="35" spans="20:20">
      <c r="T35" s="554"/>
    </row>
  </sheetData>
  <mergeCells count="6">
    <mergeCell ref="J2:N2"/>
    <mergeCell ref="A3:C3"/>
    <mergeCell ref="D3:F3"/>
    <mergeCell ref="I3:M3"/>
    <mergeCell ref="N3:N4"/>
    <mergeCell ref="G3:H3"/>
  </mergeCells>
  <pageMargins left="0.70866141732283472" right="0.70866141732283472" top="0.74803149606299213" bottom="0.74803149606299213" header="0.31496062992125984" footer="0.31496062992125984"/>
  <pageSetup paperSize="9" scale="77" fitToHeight="2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CCDBBEAF4542A4587A0F936006226C8" ma:contentTypeVersion="19" ma:contentTypeDescription="Create a new document." ma:contentTypeScope="" ma:versionID="cad70c31c352fb15113bfca5e5dedb0e">
  <xsd:schema xmlns:xsd="http://www.w3.org/2001/XMLSchema" xmlns:xs="http://www.w3.org/2001/XMLSchema" xmlns:p="http://schemas.microsoft.com/office/2006/metadata/properties" xmlns:ns2="34d92a29-8963-4c0d-891e-993f7ba8fd78" xmlns:ns3="16f60766-2ceb-46d5-b0de-eb5c3f37fce8" targetNamespace="http://schemas.microsoft.com/office/2006/metadata/properties" ma:root="true" ma:fieldsID="0c858218f8e5804bdccef33f5af8f6e8" ns2:_="" ns3:_="">
    <xsd:import namespace="34d92a29-8963-4c0d-891e-993f7ba8fd78"/>
    <xsd:import namespace="16f60766-2ceb-46d5-b0de-eb5c3f37fce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element ref="ns2:Comment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d92a29-8963-4c0d-891e-993f7ba8fd7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a4a81ccb-bdee-4777-9e14-dd353e9d3a35"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Comments" ma:index="25" nillable="true" ma:displayName="Comments" ma:format="Dropdown" ma:internalName="Comments">
      <xsd:simpleType>
        <xsd:restriction base="dms:Note">
          <xsd:maxLength value="255"/>
        </xsd:restriction>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f60766-2ceb-46d5-b0de-eb5c3f37fce8"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56b63f7c-4320-4bd8-b5e8-08385614eb31}" ma:internalName="TaxCatchAll" ma:showField="CatchAllData" ma:web="16f60766-2ceb-46d5-b0de-eb5c3f37fce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16f60766-2ceb-46d5-b0de-eb5c3f37fce8" xsi:nil="true"/>
    <lcf76f155ced4ddcb4097134ff3c332f xmlns="34d92a29-8963-4c0d-891e-993f7ba8fd78">
      <Terms xmlns="http://schemas.microsoft.com/office/infopath/2007/PartnerControls"/>
    </lcf76f155ced4ddcb4097134ff3c332f>
    <Comments xmlns="34d92a29-8963-4c0d-891e-993f7ba8fd78" xsi:nil="true"/>
  </documentManagement>
</p:properties>
</file>

<file path=customXml/itemProps1.xml><?xml version="1.0" encoding="utf-8"?>
<ds:datastoreItem xmlns:ds="http://schemas.openxmlformats.org/officeDocument/2006/customXml" ds:itemID="{4B9C0A12-21D7-47EC-B3AE-4F5403A16DBF}"/>
</file>

<file path=customXml/itemProps2.xml><?xml version="1.0" encoding="utf-8"?>
<ds:datastoreItem xmlns:ds="http://schemas.openxmlformats.org/officeDocument/2006/customXml" ds:itemID="{89BE6BF4-C703-476F-B80A-92DD51C6AA54}"/>
</file>

<file path=customXml/itemProps3.xml><?xml version="1.0" encoding="utf-8"?>
<ds:datastoreItem xmlns:ds="http://schemas.openxmlformats.org/officeDocument/2006/customXml" ds:itemID="{081158D5-5F08-4ED1-AA0F-5F434576AB6D}"/>
</file>

<file path=docProps/app.xml><?xml version="1.0" encoding="utf-8"?>
<Properties xmlns="http://schemas.openxmlformats.org/officeDocument/2006/extended-properties" xmlns:vt="http://schemas.openxmlformats.org/officeDocument/2006/docPropsVTypes">
  <Application>Microsoft Excel Online</Application>
  <Manager/>
  <Company>BT Plc</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Frankie Bernard</dc:creator>
  <cp:keywords/>
  <dc:description/>
  <cp:lastModifiedBy>Paul Parry</cp:lastModifiedBy>
  <cp:revision/>
  <dcterms:created xsi:type="dcterms:W3CDTF">2011-11-21T09:22:09Z</dcterms:created>
  <dcterms:modified xsi:type="dcterms:W3CDTF">2025-08-04T11:17:46Z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0x0101008CCDBBEAF4542A4587A0F936006226C8</vt:lpwstr>
  </property>
  <property fmtid="{D5CDD505-2E9C-101B-9397-08002B2CF9AE}" pid="3" name="IsMyDocuments">
    <vt:bool>true</vt:bool>
  </property>
  <property fmtid="{D5CDD505-2E9C-101B-9397-08002B2CF9AE}" pid="4" name="MediaServiceImageTags">
    <vt:lpwstr/>
  </property>
</Properties>
</file>